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torage-al.slu.se\home$\katlan\My Documents\2024-25\Blandat\Agroecology\"/>
    </mc:Choice>
  </mc:AlternateContent>
  <bookViews>
    <workbookView xWindow="0" yWindow="0" windowWidth="27255" windowHeight="10845"/>
  </bookViews>
  <sheets>
    <sheet name="AE Basics 24 program" sheetId="1" r:id="rId1"/>
    <sheet name="Course participants and Groups" sheetId="2" state="hidden" r:id="rId2"/>
  </sheets>
  <calcPr calcId="162913"/>
</workbook>
</file>

<file path=xl/calcChain.xml><?xml version="1.0" encoding="utf-8"?>
<calcChain xmlns="http://schemas.openxmlformats.org/spreadsheetml/2006/main">
  <c r="A2" i="2" l="1"/>
  <c r="C199" i="1"/>
  <c r="C191" i="1"/>
  <c r="C183" i="1"/>
  <c r="C178" i="1"/>
  <c r="G175" i="1"/>
  <c r="B174" i="1"/>
  <c r="C168" i="1"/>
  <c r="E166" i="1"/>
  <c r="F161" i="1"/>
  <c r="F156" i="1"/>
  <c r="G154" i="1"/>
  <c r="E152" i="1"/>
  <c r="H149" i="1"/>
  <c r="B148" i="1"/>
  <c r="H143" i="1"/>
  <c r="F137" i="1"/>
  <c r="F135" i="1"/>
  <c r="F132" i="1"/>
  <c r="G129" i="1"/>
  <c r="B128" i="1"/>
  <c r="F123" i="1"/>
  <c r="F120" i="1"/>
  <c r="H116" i="1"/>
  <c r="F114" i="1"/>
  <c r="C112" i="1"/>
  <c r="E110" i="1"/>
  <c r="D105" i="1"/>
  <c r="F101" i="1"/>
  <c r="E97" i="1"/>
  <c r="E93" i="1"/>
  <c r="F90" i="1"/>
  <c r="F88" i="1"/>
  <c r="F84" i="1"/>
  <c r="F81" i="1"/>
  <c r="G78" i="1"/>
  <c r="F75" i="1"/>
  <c r="C73" i="1"/>
  <c r="E71" i="1"/>
  <c r="H68" i="1"/>
  <c r="E66" i="1"/>
  <c r="G62" i="1"/>
  <c r="F59" i="1"/>
  <c r="F57" i="1"/>
  <c r="F54" i="1"/>
  <c r="E52" i="1"/>
  <c r="F49" i="1"/>
  <c r="H47" i="1"/>
  <c r="G44" i="1"/>
  <c r="G42" i="1"/>
  <c r="D39" i="1"/>
  <c r="E37" i="1"/>
  <c r="E35" i="1"/>
  <c r="G31" i="1"/>
  <c r="D29" i="1"/>
  <c r="B28" i="1"/>
  <c r="B18" i="1"/>
  <c r="B7" i="1"/>
  <c r="H111" i="1"/>
  <c r="F92" i="1"/>
  <c r="H86" i="1"/>
  <c r="D80" i="1"/>
  <c r="F77" i="1"/>
  <c r="C70" i="1"/>
  <c r="H64" i="1"/>
  <c r="E62" i="1"/>
  <c r="C56" i="1"/>
  <c r="C52" i="1"/>
  <c r="E47" i="1"/>
  <c r="E42" i="1"/>
  <c r="E36" i="1"/>
  <c r="E31" i="1"/>
  <c r="B25" i="1"/>
  <c r="B4" i="1"/>
  <c r="C196" i="1"/>
  <c r="B166" i="1"/>
  <c r="D153" i="1"/>
  <c r="H148" i="1"/>
  <c r="H144" i="1"/>
  <c r="C137" i="1"/>
  <c r="E133" i="1"/>
  <c r="E125" i="1"/>
  <c r="G119" i="1"/>
  <c r="G111" i="1"/>
  <c r="E104" i="1"/>
  <c r="E92" i="1"/>
  <c r="H85" i="1"/>
  <c r="C80" i="1"/>
  <c r="H74" i="1"/>
  <c r="B70" i="1"/>
  <c r="D68" i="1"/>
  <c r="F64" i="1"/>
  <c r="G58" i="1"/>
  <c r="H51" i="1"/>
  <c r="F43" i="1"/>
  <c r="C206" i="1"/>
  <c r="C198" i="1"/>
  <c r="C190" i="1"/>
  <c r="C182" i="1"/>
  <c r="G177" i="1"/>
  <c r="F175" i="1"/>
  <c r="F171" i="1"/>
  <c r="B168" i="1"/>
  <c r="D166" i="1"/>
  <c r="E161" i="1"/>
  <c r="D156" i="1"/>
  <c r="F154" i="1"/>
  <c r="H151" i="1"/>
  <c r="F149" i="1"/>
  <c r="F147" i="1"/>
  <c r="F143" i="1"/>
  <c r="E137" i="1"/>
  <c r="G133" i="1"/>
  <c r="E132" i="1"/>
  <c r="F129" i="1"/>
  <c r="G125" i="1"/>
  <c r="E123" i="1"/>
  <c r="E120" i="1"/>
  <c r="G116" i="1"/>
  <c r="E114" i="1"/>
  <c r="B112" i="1"/>
  <c r="D110" i="1"/>
  <c r="C105" i="1"/>
  <c r="E101" i="1"/>
  <c r="G95" i="1"/>
  <c r="G92" i="1"/>
  <c r="E90" i="1"/>
  <c r="F87" i="1"/>
  <c r="H83" i="1"/>
  <c r="E81" i="1"/>
  <c r="F78" i="1"/>
  <c r="E75" i="1"/>
  <c r="H72" i="1"/>
  <c r="D70" i="1"/>
  <c r="G68" i="1"/>
  <c r="D66" i="1"/>
  <c r="F62" i="1"/>
  <c r="D59" i="1"/>
  <c r="D56" i="1"/>
  <c r="E54" i="1"/>
  <c r="D52" i="1"/>
  <c r="D49" i="1"/>
  <c r="G47" i="1"/>
  <c r="F44" i="1"/>
  <c r="F42" i="1"/>
  <c r="C39" i="1"/>
  <c r="F36" i="1"/>
  <c r="F34" i="1"/>
  <c r="F31" i="1"/>
  <c r="C29" i="1"/>
  <c r="B26" i="1"/>
  <c r="B17" i="1"/>
  <c r="B6" i="1"/>
  <c r="C205" i="1"/>
  <c r="C197" i="1"/>
  <c r="C189" i="1"/>
  <c r="C181" i="1"/>
  <c r="F177" i="1"/>
  <c r="C175" i="1"/>
  <c r="F170" i="1"/>
  <c r="G167" i="1"/>
  <c r="C166" i="1"/>
  <c r="F160" i="1"/>
  <c r="C156" i="1"/>
  <c r="E154" i="1"/>
  <c r="G151" i="1"/>
  <c r="E149" i="1"/>
  <c r="F145" i="1"/>
  <c r="E143" i="1"/>
  <c r="D137" i="1"/>
  <c r="F133" i="1"/>
  <c r="H131" i="1"/>
  <c r="E129" i="1"/>
  <c r="F125" i="1"/>
  <c r="H122" i="1"/>
  <c r="H119" i="1"/>
  <c r="F116" i="1"/>
  <c r="G113" i="1"/>
  <c r="C110" i="1"/>
  <c r="F104" i="1"/>
  <c r="F99" i="1"/>
  <c r="F95" i="1"/>
  <c r="H89" i="1"/>
  <c r="G83" i="1"/>
  <c r="D75" i="1"/>
  <c r="G72" i="1"/>
  <c r="E68" i="1"/>
  <c r="C59" i="1"/>
  <c r="G53" i="1"/>
  <c r="C49" i="1"/>
  <c r="E44" i="1"/>
  <c r="H38" i="1"/>
  <c r="H33" i="1"/>
  <c r="B29" i="1"/>
  <c r="B16" i="1"/>
  <c r="C204" i="1"/>
  <c r="C188" i="1"/>
  <c r="F179" i="1"/>
  <c r="C177" i="1"/>
  <c r="H174" i="1"/>
  <c r="F169" i="1"/>
  <c r="F167" i="1"/>
  <c r="E160" i="1"/>
  <c r="H155" i="1"/>
  <c r="F151" i="1"/>
  <c r="F142" i="1"/>
  <c r="E131" i="1"/>
  <c r="H128" i="1"/>
  <c r="G122" i="1"/>
  <c r="E116" i="1"/>
  <c r="H112" i="1"/>
  <c r="B110" i="1"/>
  <c r="D98" i="1"/>
  <c r="E95" i="1"/>
  <c r="G89" i="1"/>
  <c r="F83" i="1"/>
  <c r="F76" i="1"/>
  <c r="F72" i="1"/>
  <c r="H60" i="1"/>
  <c r="H55" i="1"/>
  <c r="F53" i="1"/>
  <c r="B49" i="1"/>
  <c r="C203" i="1"/>
  <c r="C187" i="1"/>
  <c r="G176" i="1"/>
  <c r="G168" i="1"/>
  <c r="F163" i="1"/>
  <c r="G155" i="1"/>
  <c r="E151" i="1"/>
  <c r="F144" i="1"/>
  <c r="H136" i="1"/>
  <c r="D130" i="1"/>
  <c r="D124" i="1"/>
  <c r="D118" i="1"/>
  <c r="G112" i="1"/>
  <c r="C108" i="1"/>
  <c r="C98" i="1"/>
  <c r="D91" i="1"/>
  <c r="F85" i="1"/>
  <c r="H79" i="1"/>
  <c r="G74" i="1"/>
  <c r="H69" i="1"/>
  <c r="E64" i="1"/>
  <c r="F58" i="1"/>
  <c r="E53" i="1"/>
  <c r="H48" i="1"/>
  <c r="H44" i="1"/>
  <c r="F40" i="1"/>
  <c r="C36" i="1"/>
  <c r="H31" i="1"/>
  <c r="E28" i="1"/>
  <c r="B14" i="1"/>
  <c r="H35" i="1"/>
  <c r="D28" i="1"/>
  <c r="B13" i="1"/>
  <c r="F38" i="1"/>
  <c r="B9" i="1"/>
  <c r="B22" i="1"/>
  <c r="F158" i="1"/>
  <c r="C89" i="1"/>
  <c r="D32" i="1"/>
  <c r="C202" i="1"/>
  <c r="C186" i="1"/>
  <c r="F176" i="1"/>
  <c r="F168" i="1"/>
  <c r="D162" i="1"/>
  <c r="F155" i="1"/>
  <c r="D150" i="1"/>
  <c r="E144" i="1"/>
  <c r="G136" i="1"/>
  <c r="C130" i="1"/>
  <c r="C124" i="1"/>
  <c r="C118" i="1"/>
  <c r="F112" i="1"/>
  <c r="F106" i="1"/>
  <c r="H97" i="1"/>
  <c r="C91" i="1"/>
  <c r="E85" i="1"/>
  <c r="G79" i="1"/>
  <c r="F74" i="1"/>
  <c r="G69" i="1"/>
  <c r="D63" i="1"/>
  <c r="E58" i="1"/>
  <c r="H52" i="1"/>
  <c r="G48" i="1"/>
  <c r="E43" i="1"/>
  <c r="E40" i="1"/>
  <c r="F30" i="1"/>
  <c r="C43" i="1"/>
  <c r="B24" i="1"/>
  <c r="E29" i="1"/>
  <c r="F178" i="1"/>
  <c r="H132" i="1"/>
  <c r="D121" i="1"/>
  <c r="G93" i="1"/>
  <c r="E55" i="1"/>
  <c r="H28" i="1"/>
  <c r="C201" i="1"/>
  <c r="C185" i="1"/>
  <c r="C176" i="1"/>
  <c r="E168" i="1"/>
  <c r="C162" i="1"/>
  <c r="E155" i="1"/>
  <c r="C150" i="1"/>
  <c r="D144" i="1"/>
  <c r="F136" i="1"/>
  <c r="B130" i="1"/>
  <c r="H123" i="1"/>
  <c r="H117" i="1"/>
  <c r="E112" i="1"/>
  <c r="E106" i="1"/>
  <c r="G97" i="1"/>
  <c r="B91" i="1"/>
  <c r="D85" i="1"/>
  <c r="F79" i="1"/>
  <c r="E74" i="1"/>
  <c r="F69" i="1"/>
  <c r="C63" i="1"/>
  <c r="H57" i="1"/>
  <c r="G52" i="1"/>
  <c r="F48" i="1"/>
  <c r="D43" i="1"/>
  <c r="G38" i="1"/>
  <c r="G35" i="1"/>
  <c r="E30" i="1"/>
  <c r="C28" i="1"/>
  <c r="B11" i="1"/>
  <c r="E48" i="1"/>
  <c r="G29" i="1"/>
  <c r="C47" i="1"/>
  <c r="G152" i="1"/>
  <c r="D102" i="1"/>
  <c r="F67" i="1"/>
  <c r="B21" i="1"/>
  <c r="C200" i="1"/>
  <c r="C184" i="1"/>
  <c r="B176" i="1"/>
  <c r="D168" i="1"/>
  <c r="G161" i="1"/>
  <c r="H154" i="1"/>
  <c r="B150" i="1"/>
  <c r="C144" i="1"/>
  <c r="E136" i="1"/>
  <c r="H129" i="1"/>
  <c r="G123" i="1"/>
  <c r="F117" i="1"/>
  <c r="D112" i="1"/>
  <c r="F105" i="1"/>
  <c r="F97" i="1"/>
  <c r="G90" i="1"/>
  <c r="C85" i="1"/>
  <c r="E79" i="1"/>
  <c r="D73" i="1"/>
  <c r="E69" i="1"/>
  <c r="H62" i="1"/>
  <c r="G57" i="1"/>
  <c r="F52" i="1"/>
  <c r="F35" i="1"/>
  <c r="F41" i="1"/>
  <c r="B3" i="1"/>
  <c r="C193" i="1"/>
  <c r="F50" i="1"/>
  <c r="C195" i="1"/>
  <c r="E179" i="1"/>
  <c r="G174" i="1"/>
  <c r="D167" i="1"/>
  <c r="D159" i="1"/>
  <c r="C153" i="1"/>
  <c r="G148" i="1"/>
  <c r="D141" i="1"/>
  <c r="D133" i="1"/>
  <c r="G128" i="1"/>
  <c r="F122" i="1"/>
  <c r="D115" i="1"/>
  <c r="F111" i="1"/>
  <c r="F103" i="1"/>
  <c r="D94" i="1"/>
  <c r="E89" i="1"/>
  <c r="E83" i="1"/>
  <c r="E76" i="1"/>
  <c r="E72" i="1"/>
  <c r="C68" i="1"/>
  <c r="G60" i="1"/>
  <c r="G55" i="1"/>
  <c r="G51" i="1"/>
  <c r="D47" i="1"/>
  <c r="H42" i="1"/>
  <c r="E38" i="1"/>
  <c r="F33" i="1"/>
  <c r="F29" i="1"/>
  <c r="B23" i="1"/>
  <c r="B8" i="1"/>
  <c r="G37" i="1"/>
  <c r="H166" i="1"/>
  <c r="H81" i="1"/>
  <c r="F37" i="1"/>
  <c r="C194" i="1"/>
  <c r="G178" i="1"/>
  <c r="E174" i="1"/>
  <c r="C167" i="1"/>
  <c r="C159" i="1"/>
  <c r="H152" i="1"/>
  <c r="E148" i="1"/>
  <c r="C141" i="1"/>
  <c r="C133" i="1"/>
  <c r="E128" i="1"/>
  <c r="E122" i="1"/>
  <c r="C115" i="1"/>
  <c r="E111" i="1"/>
  <c r="E103" i="1"/>
  <c r="C94" i="1"/>
  <c r="D89" i="1"/>
  <c r="F82" i="1"/>
  <c r="C76" i="1"/>
  <c r="H71" i="1"/>
  <c r="B68" i="1"/>
  <c r="F60" i="1"/>
  <c r="F51" i="1"/>
  <c r="E33" i="1"/>
  <c r="D174" i="1"/>
  <c r="F140" i="1"/>
  <c r="D128" i="1"/>
  <c r="H110" i="1"/>
  <c r="H75" i="1"/>
  <c r="E60" i="1"/>
  <c r="E41" i="1"/>
  <c r="B1" i="1"/>
  <c r="C192" i="1"/>
  <c r="E178" i="1"/>
  <c r="C174" i="1"/>
  <c r="G166" i="1"/>
  <c r="E158" i="1"/>
  <c r="F152" i="1"/>
  <c r="C148" i="1"/>
  <c r="E140" i="1"/>
  <c r="G132" i="1"/>
  <c r="C128" i="1"/>
  <c r="C121" i="1"/>
  <c r="G114" i="1"/>
  <c r="G110" i="1"/>
  <c r="C102" i="1"/>
  <c r="F93" i="1"/>
  <c r="B89" i="1"/>
  <c r="G81" i="1"/>
  <c r="G75" i="1"/>
  <c r="F71" i="1"/>
  <c r="F66" i="1"/>
  <c r="G59" i="1"/>
  <c r="H54" i="1"/>
  <c r="E50" i="1"/>
  <c r="F46" i="1"/>
  <c r="H40" i="1"/>
  <c r="D36" i="1"/>
  <c r="C32" i="1"/>
  <c r="G28" i="1"/>
  <c r="B20" i="1"/>
  <c r="F55" i="1"/>
  <c r="D148" i="1"/>
  <c r="H114" i="1"/>
  <c r="G71" i="1"/>
  <c r="B47" i="1"/>
</calcChain>
</file>

<file path=xl/sharedStrings.xml><?xml version="1.0" encoding="utf-8"?>
<sst xmlns="http://schemas.openxmlformats.org/spreadsheetml/2006/main" count="1" uniqueCount="1">
  <si>
    <t>Course Participants, Personality Profiles, Farm Assignment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</si>
</sst>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-mmm"/>
  </numFmts>
  <fonts count="26">
    <font>
      <sz val="10"/>
      <color rgb="FF000000"/>
      <name val="Arial"/>
      <scheme val="minor"/>
    </font>
    <font>
      <b/>
      <sz val="18"/>
      <color rgb="FF339966"/>
      <name val="Arial"/>
    </font>
    <font>
      <sz val="10"/>
      <color theme="1"/>
      <name val="Calibri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sz val="9"/>
      <color theme="1"/>
      <name val="Arial"/>
    </font>
    <font>
      <sz val="10"/>
      <color rgb="FF0000FF"/>
      <name val="Arial"/>
    </font>
    <font>
      <i/>
      <sz val="9"/>
      <color rgb="FF0000FF"/>
      <name val="Arial"/>
    </font>
    <font>
      <u/>
      <sz val="10"/>
      <color rgb="FF0000FF"/>
      <name val="Arial"/>
    </font>
    <font>
      <i/>
      <sz val="10"/>
      <color rgb="FF0000FF"/>
      <name val="Arial"/>
    </font>
    <font>
      <sz val="10"/>
      <color rgb="FF1F1F1F"/>
      <name val="Arial"/>
    </font>
    <font>
      <i/>
      <sz val="10"/>
      <color theme="1"/>
      <name val="Arial"/>
    </font>
    <font>
      <sz val="10"/>
      <color rgb="FFFF0000"/>
      <name val="Arial"/>
    </font>
    <font>
      <sz val="9"/>
      <color rgb="FF1F1F1F"/>
      <name val="Google Sans"/>
    </font>
    <font>
      <sz val="10"/>
      <color rgb="FF000000"/>
      <name val="Arial"/>
    </font>
    <font>
      <u/>
      <sz val="10"/>
      <color rgb="FF0000FF"/>
      <name val="Arial"/>
    </font>
    <font>
      <sz val="8"/>
      <color theme="1"/>
      <name val="Arial"/>
    </font>
    <font>
      <sz val="10"/>
      <color theme="1"/>
      <name val="Arial"/>
      <scheme val="minor"/>
    </font>
    <font>
      <b/>
      <sz val="26"/>
      <color rgb="FF6AA84F"/>
      <name val="Calibri"/>
    </font>
    <font>
      <b/>
      <sz val="12"/>
      <color theme="1"/>
      <name val="Calibri"/>
    </font>
    <font>
      <sz val="11"/>
      <color theme="1"/>
      <name val="Calibri"/>
    </font>
    <font>
      <sz val="9"/>
      <color rgb="FF1F1F1F"/>
      <name val="Arial"/>
    </font>
    <font>
      <sz val="9"/>
      <color rgb="FF1F1F1F"/>
      <name val="Monospace"/>
    </font>
    <font>
      <sz val="11"/>
      <color theme="1"/>
      <name val="Arial"/>
    </font>
    <font>
      <sz val="12"/>
      <color theme="1"/>
      <name val="Calibri"/>
    </font>
  </fonts>
  <fills count="1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6B26B"/>
        <bgColor rgb="FFF6B26B"/>
      </patternFill>
    </fill>
    <fill>
      <patternFill patternType="solid">
        <fgColor rgb="FFFABF8F"/>
        <bgColor rgb="FFFABF8F"/>
      </patternFill>
    </fill>
    <fill>
      <patternFill patternType="solid">
        <fgColor rgb="FF9FC5E8"/>
        <bgColor rgb="FF9FC5E8"/>
      </patternFill>
    </fill>
    <fill>
      <patternFill patternType="solid">
        <fgColor rgb="FFD5A6BD"/>
        <bgColor rgb="FFD5A6BD"/>
      </patternFill>
    </fill>
    <fill>
      <patternFill patternType="solid">
        <fgColor rgb="FFF9CB9C"/>
        <bgColor rgb="FFF9CB9C"/>
      </patternFill>
    </fill>
    <fill>
      <patternFill patternType="solid">
        <fgColor rgb="FFFFF2CC"/>
        <bgColor rgb="FFFFF2CC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FCE5CD"/>
        <bgColor rgb="FFFCE5CD"/>
      </patternFill>
    </fill>
  </fills>
  <borders count="7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2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4" fillId="2" borderId="2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right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/>
    <xf numFmtId="0" fontId="7" fillId="0" borderId="5" xfId="0" applyFont="1" applyBorder="1" applyAlignment="1">
      <alignment horizontal="center"/>
    </xf>
    <xf numFmtId="0" fontId="2" fillId="3" borderId="6" xfId="0" applyFont="1" applyFill="1" applyBorder="1" applyAlignment="1"/>
    <xf numFmtId="0" fontId="2" fillId="2" borderId="7" xfId="0" applyFont="1" applyFill="1" applyBorder="1" applyAlignment="1"/>
    <xf numFmtId="164" fontId="2" fillId="0" borderId="8" xfId="0" applyNumberFormat="1" applyFont="1" applyBorder="1" applyAlignment="1"/>
    <xf numFmtId="0" fontId="2" fillId="3" borderId="9" xfId="0" applyFont="1" applyFill="1" applyBorder="1" applyAlignment="1"/>
    <xf numFmtId="0" fontId="3" fillId="0" borderId="9" xfId="0" applyFont="1" applyBorder="1" applyAlignment="1"/>
    <xf numFmtId="0" fontId="8" fillId="3" borderId="10" xfId="0" applyFont="1" applyFill="1" applyBorder="1" applyAlignment="1"/>
    <xf numFmtId="0" fontId="2" fillId="0" borderId="10" xfId="0" applyFont="1" applyBorder="1" applyAlignment="1"/>
    <xf numFmtId="0" fontId="2" fillId="2" borderId="11" xfId="0" applyFont="1" applyFill="1" applyBorder="1" applyAlignment="1"/>
    <xf numFmtId="164" fontId="2" fillId="0" borderId="12" xfId="0" applyNumberFormat="1" applyFont="1" applyBorder="1" applyAlignment="1"/>
    <xf numFmtId="0" fontId="2" fillId="3" borderId="13" xfId="0" applyFont="1" applyFill="1" applyBorder="1" applyAlignment="1"/>
    <xf numFmtId="0" fontId="3" fillId="0" borderId="14" xfId="0" applyFont="1" applyBorder="1" applyAlignment="1"/>
    <xf numFmtId="0" fontId="3" fillId="3" borderId="15" xfId="0" applyFont="1" applyFill="1" applyBorder="1" applyAlignment="1"/>
    <xf numFmtId="0" fontId="7" fillId="0" borderId="16" xfId="0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2" fillId="0" borderId="14" xfId="0" applyFont="1" applyBorder="1" applyAlignment="1"/>
    <xf numFmtId="0" fontId="2" fillId="3" borderId="15" xfId="0" applyFont="1" applyFill="1" applyBorder="1" applyAlignment="1"/>
    <xf numFmtId="49" fontId="2" fillId="3" borderId="18" xfId="0" applyNumberFormat="1" applyFont="1" applyFill="1" applyBorder="1" applyAlignment="1"/>
    <xf numFmtId="0" fontId="2" fillId="3" borderId="19" xfId="0" applyFont="1" applyFill="1" applyBorder="1" applyAlignment="1"/>
    <xf numFmtId="0" fontId="3" fillId="0" borderId="20" xfId="0" applyFont="1" applyBorder="1" applyAlignment="1"/>
    <xf numFmtId="0" fontId="3" fillId="3" borderId="14" xfId="0" applyFont="1" applyFill="1" applyBorder="1" applyAlignment="1"/>
    <xf numFmtId="49" fontId="2" fillId="3" borderId="21" xfId="0" applyNumberFormat="1" applyFont="1" applyFill="1" applyBorder="1" applyAlignment="1"/>
    <xf numFmtId="0" fontId="2" fillId="3" borderId="22" xfId="0" applyFont="1" applyFill="1" applyBorder="1" applyAlignment="1"/>
    <xf numFmtId="0" fontId="2" fillId="4" borderId="10" xfId="0" applyFont="1" applyFill="1" applyBorder="1" applyAlignment="1"/>
    <xf numFmtId="0" fontId="9" fillId="5" borderId="23" xfId="0" applyFont="1" applyFill="1" applyBorder="1" applyAlignment="1"/>
    <xf numFmtId="0" fontId="2" fillId="0" borderId="22" xfId="0" applyFont="1" applyBorder="1" applyAlignment="1"/>
    <xf numFmtId="0" fontId="2" fillId="0" borderId="23" xfId="0" applyFont="1" applyBorder="1" applyAlignment="1"/>
    <xf numFmtId="0" fontId="2" fillId="2" borderId="24" xfId="0" applyFont="1" applyFill="1" applyBorder="1" applyAlignment="1"/>
    <xf numFmtId="49" fontId="2" fillId="3" borderId="25" xfId="0" applyNumberFormat="1" applyFont="1" applyFill="1" applyBorder="1" applyAlignment="1"/>
    <xf numFmtId="0" fontId="3" fillId="4" borderId="0" xfId="0" applyFont="1" applyFill="1" applyAlignment="1"/>
    <xf numFmtId="0" fontId="3" fillId="5" borderId="5" xfId="0" applyFont="1" applyFill="1" applyBorder="1" applyAlignment="1"/>
    <xf numFmtId="0" fontId="7" fillId="3" borderId="0" xfId="0" applyFont="1" applyFill="1" applyAlignment="1">
      <alignment horizontal="center"/>
    </xf>
    <xf numFmtId="49" fontId="2" fillId="3" borderId="26" xfId="0" applyNumberFormat="1" applyFont="1" applyFill="1" applyBorder="1" applyAlignment="1"/>
    <xf numFmtId="0" fontId="2" fillId="3" borderId="23" xfId="0" applyFont="1" applyFill="1" applyBorder="1" applyAlignment="1"/>
    <xf numFmtId="0" fontId="3" fillId="3" borderId="23" xfId="0" applyFont="1" applyFill="1" applyBorder="1" applyAlignment="1"/>
    <xf numFmtId="0" fontId="10" fillId="3" borderId="23" xfId="0" applyFont="1" applyFill="1" applyBorder="1" applyAlignment="1"/>
    <xf numFmtId="0" fontId="3" fillId="3" borderId="23" xfId="0" applyFont="1" applyFill="1" applyBorder="1" applyAlignment="1">
      <alignment horizontal="center"/>
    </xf>
    <xf numFmtId="49" fontId="2" fillId="3" borderId="27" xfId="0" applyNumberFormat="1" applyFont="1" applyFill="1" applyBorder="1" applyAlignment="1"/>
    <xf numFmtId="0" fontId="3" fillId="3" borderId="28" xfId="0" applyFont="1" applyFill="1" applyBorder="1" applyAlignment="1"/>
    <xf numFmtId="0" fontId="7" fillId="3" borderId="15" xfId="0" applyFont="1" applyFill="1" applyBorder="1" applyAlignment="1">
      <alignment horizontal="center"/>
    </xf>
    <xf numFmtId="0" fontId="2" fillId="3" borderId="20" xfId="0" applyFont="1" applyFill="1" applyBorder="1" applyAlignment="1"/>
    <xf numFmtId="0" fontId="2" fillId="3" borderId="29" xfId="0" applyFont="1" applyFill="1" applyBorder="1" applyAlignment="1"/>
    <xf numFmtId="0" fontId="2" fillId="6" borderId="24" xfId="0" applyFont="1" applyFill="1" applyBorder="1" applyAlignment="1"/>
    <xf numFmtId="0" fontId="2" fillId="3" borderId="7" xfId="0" applyFont="1" applyFill="1" applyBorder="1" applyAlignment="1"/>
    <xf numFmtId="0" fontId="2" fillId="3" borderId="30" xfId="0" applyFont="1" applyFill="1" applyBorder="1" applyAlignment="1"/>
    <xf numFmtId="0" fontId="2" fillId="3" borderId="31" xfId="0" applyFont="1" applyFill="1" applyBorder="1" applyAlignment="1"/>
    <xf numFmtId="0" fontId="8" fillId="0" borderId="32" xfId="0" applyFont="1" applyBorder="1"/>
    <xf numFmtId="0" fontId="2" fillId="3" borderId="4" xfId="0" applyFont="1" applyFill="1" applyBorder="1" applyAlignment="1"/>
    <xf numFmtId="0" fontId="11" fillId="3" borderId="14" xfId="0" applyFont="1" applyFill="1" applyBorder="1" applyAlignment="1"/>
    <xf numFmtId="0" fontId="7" fillId="3" borderId="1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2" xfId="0" applyFont="1" applyFill="1" applyBorder="1" applyAlignment="1"/>
    <xf numFmtId="0" fontId="2" fillId="2" borderId="33" xfId="0" applyFont="1" applyFill="1" applyBorder="1" applyAlignment="1"/>
    <xf numFmtId="0" fontId="3" fillId="0" borderId="23" xfId="0" applyFont="1" applyBorder="1" applyAlignment="1"/>
    <xf numFmtId="0" fontId="3" fillId="7" borderId="34" xfId="0" applyFont="1" applyFill="1" applyBorder="1" applyAlignment="1"/>
    <xf numFmtId="0" fontId="7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12" xfId="0" applyFont="1" applyBorder="1" applyAlignment="1"/>
    <xf numFmtId="0" fontId="8" fillId="0" borderId="0" xfId="0" applyFont="1" applyAlignment="1"/>
    <xf numFmtId="49" fontId="3" fillId="2" borderId="1" xfId="0" applyNumberFormat="1" applyFont="1" applyFill="1" applyBorder="1" applyAlignment="1">
      <alignment horizontal="center"/>
    </xf>
    <xf numFmtId="0" fontId="2" fillId="2" borderId="35" xfId="0" applyFont="1" applyFill="1" applyBorder="1" applyAlignment="1"/>
    <xf numFmtId="49" fontId="2" fillId="3" borderId="36" xfId="0" applyNumberFormat="1" applyFont="1" applyFill="1" applyBorder="1" applyAlignment="1"/>
    <xf numFmtId="0" fontId="3" fillId="3" borderId="17" xfId="0" applyFont="1" applyFill="1" applyBorder="1" applyAlignment="1"/>
    <xf numFmtId="0" fontId="4" fillId="2" borderId="24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12" fillId="0" borderId="14" xfId="0" applyFont="1" applyBorder="1" applyAlignment="1"/>
    <xf numFmtId="49" fontId="2" fillId="3" borderId="3" xfId="0" applyNumberFormat="1" applyFont="1" applyFill="1" applyBorder="1" applyAlignment="1"/>
    <xf numFmtId="0" fontId="2" fillId="3" borderId="37" xfId="0" applyFont="1" applyFill="1" applyBorder="1" applyAlignment="1"/>
    <xf numFmtId="0" fontId="3" fillId="3" borderId="30" xfId="0" applyFont="1" applyFill="1" applyBorder="1" applyAlignment="1"/>
    <xf numFmtId="0" fontId="2" fillId="3" borderId="12" xfId="0" applyFont="1" applyFill="1" applyBorder="1" applyAlignment="1"/>
    <xf numFmtId="0" fontId="10" fillId="3" borderId="0" xfId="0" applyFont="1" applyFill="1" applyAlignment="1"/>
    <xf numFmtId="0" fontId="7" fillId="0" borderId="10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5" xfId="0" applyFont="1" applyFill="1" applyBorder="1" applyAlignment="1"/>
    <xf numFmtId="49" fontId="2" fillId="0" borderId="27" xfId="0" applyNumberFormat="1" applyFont="1" applyBorder="1" applyAlignment="1"/>
    <xf numFmtId="0" fontId="2" fillId="0" borderId="24" xfId="0" applyFont="1" applyBorder="1" applyAlignment="1"/>
    <xf numFmtId="0" fontId="3" fillId="0" borderId="15" xfId="0" applyFont="1" applyBorder="1" applyAlignment="1"/>
    <xf numFmtId="0" fontId="3" fillId="0" borderId="12" xfId="0" applyFont="1" applyBorder="1" applyAlignment="1"/>
    <xf numFmtId="0" fontId="3" fillId="0" borderId="12" xfId="0" applyFont="1" applyBorder="1" applyAlignment="1">
      <alignment horizontal="center"/>
    </xf>
    <xf numFmtId="0" fontId="10" fillId="3" borderId="30" xfId="0" applyFont="1" applyFill="1" applyBorder="1" applyAlignment="1"/>
    <xf numFmtId="0" fontId="2" fillId="0" borderId="38" xfId="0" applyFont="1" applyBorder="1" applyAlignment="1"/>
    <xf numFmtId="0" fontId="2" fillId="0" borderId="15" xfId="0" applyFont="1" applyBorder="1" applyAlignment="1"/>
    <xf numFmtId="0" fontId="3" fillId="0" borderId="7" xfId="0" applyFont="1" applyBorder="1" applyAlignment="1"/>
    <xf numFmtId="0" fontId="3" fillId="0" borderId="5" xfId="0" applyFont="1" applyBorder="1" applyAlignment="1"/>
    <xf numFmtId="0" fontId="7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16" xfId="0" applyFont="1" applyBorder="1" applyAlignment="1"/>
    <xf numFmtId="49" fontId="2" fillId="3" borderId="39" xfId="0" applyNumberFormat="1" applyFont="1" applyFill="1" applyBorder="1" applyAlignment="1"/>
    <xf numFmtId="0" fontId="10" fillId="3" borderId="34" xfId="0" applyFont="1" applyFill="1" applyBorder="1" applyAlignment="1"/>
    <xf numFmtId="0" fontId="13" fillId="0" borderId="40" xfId="0" applyFont="1" applyBorder="1" applyAlignment="1">
      <alignment horizontal="center"/>
    </xf>
    <xf numFmtId="0" fontId="3" fillId="3" borderId="41" xfId="0" applyFont="1" applyFill="1" applyBorder="1" applyAlignment="1"/>
    <xf numFmtId="0" fontId="2" fillId="3" borderId="17" xfId="0" applyFont="1" applyFill="1" applyBorder="1" applyAlignment="1"/>
    <xf numFmtId="0" fontId="7" fillId="0" borderId="14" xfId="0" applyFont="1" applyBorder="1" applyAlignment="1">
      <alignment horizontal="center"/>
    </xf>
    <xf numFmtId="0" fontId="11" fillId="3" borderId="20" xfId="0" applyFont="1" applyFill="1" applyBorder="1" applyAlignment="1"/>
    <xf numFmtId="20" fontId="2" fillId="0" borderId="23" xfId="0" applyNumberFormat="1" applyFont="1" applyBorder="1" applyAlignment="1"/>
    <xf numFmtId="0" fontId="3" fillId="3" borderId="30" xfId="0" applyFont="1" applyFill="1" applyBorder="1" applyAlignment="1">
      <alignment horizontal="center"/>
    </xf>
    <xf numFmtId="0" fontId="2" fillId="3" borderId="18" xfId="0" applyFont="1" applyFill="1" applyBorder="1" applyAlignment="1"/>
    <xf numFmtId="0" fontId="2" fillId="2" borderId="42" xfId="0" applyFont="1" applyFill="1" applyBorder="1" applyAlignment="1"/>
    <xf numFmtId="49" fontId="2" fillId="3" borderId="43" xfId="0" applyNumberFormat="1" applyFont="1" applyFill="1" applyBorder="1" applyAlignment="1"/>
    <xf numFmtId="0" fontId="2" fillId="3" borderId="38" xfId="0" applyFont="1" applyFill="1" applyBorder="1" applyAlignment="1"/>
    <xf numFmtId="0" fontId="3" fillId="3" borderId="34" xfId="0" applyFont="1" applyFill="1" applyBorder="1" applyAlignment="1"/>
    <xf numFmtId="0" fontId="12" fillId="7" borderId="23" xfId="0" applyFont="1" applyFill="1" applyBorder="1" applyAlignment="1"/>
    <xf numFmtId="0" fontId="2" fillId="0" borderId="21" xfId="0" applyFont="1" applyBorder="1" applyAlignment="1"/>
    <xf numFmtId="0" fontId="2" fillId="3" borderId="0" xfId="0" applyFont="1" applyFill="1" applyAlignment="1"/>
    <xf numFmtId="0" fontId="2" fillId="0" borderId="6" xfId="0" applyFont="1" applyBorder="1" applyAlignment="1"/>
    <xf numFmtId="20" fontId="3" fillId="0" borderId="0" xfId="0" applyNumberFormat="1" applyFont="1" applyAlignment="1">
      <alignment horizontal="right"/>
    </xf>
    <xf numFmtId="0" fontId="12" fillId="5" borderId="0" xfId="0" applyFont="1" applyFill="1" applyAlignment="1"/>
    <xf numFmtId="0" fontId="3" fillId="2" borderId="44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3" fillId="3" borderId="6" xfId="0" applyFont="1" applyFill="1" applyBorder="1" applyAlignment="1"/>
    <xf numFmtId="0" fontId="7" fillId="0" borderId="6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3" borderId="14" xfId="0" applyFont="1" applyFill="1" applyBorder="1" applyAlignment="1"/>
    <xf numFmtId="0" fontId="2" fillId="3" borderId="24" xfId="0" applyFont="1" applyFill="1" applyBorder="1" applyAlignment="1"/>
    <xf numFmtId="0" fontId="3" fillId="3" borderId="10" xfId="0" applyFont="1" applyFill="1" applyBorder="1" applyAlignment="1"/>
    <xf numFmtId="0" fontId="3" fillId="3" borderId="38" xfId="0" applyFont="1" applyFill="1" applyBorder="1" applyAlignment="1"/>
    <xf numFmtId="0" fontId="7" fillId="0" borderId="38" xfId="0" applyFont="1" applyBorder="1" applyAlignment="1">
      <alignment horizontal="center"/>
    </xf>
    <xf numFmtId="0" fontId="2" fillId="3" borderId="16" xfId="0" applyFont="1" applyFill="1" applyBorder="1" applyAlignment="1"/>
    <xf numFmtId="0" fontId="3" fillId="3" borderId="45" xfId="0" applyFont="1" applyFill="1" applyBorder="1" applyAlignment="1"/>
    <xf numFmtId="0" fontId="7" fillId="3" borderId="4" xfId="0" applyFont="1" applyFill="1" applyBorder="1" applyAlignment="1">
      <alignment horizontal="center"/>
    </xf>
    <xf numFmtId="0" fontId="3" fillId="7" borderId="0" xfId="0" applyFont="1" applyFill="1" applyAlignment="1"/>
    <xf numFmtId="49" fontId="2" fillId="3" borderId="46" xfId="0" applyNumberFormat="1" applyFont="1" applyFill="1" applyBorder="1" applyAlignment="1"/>
    <xf numFmtId="0" fontId="10" fillId="3" borderId="38" xfId="0" applyFont="1" applyFill="1" applyBorder="1" applyAlignment="1"/>
    <xf numFmtId="0" fontId="3" fillId="0" borderId="34" xfId="0" applyFont="1" applyBorder="1" applyAlignment="1">
      <alignment horizontal="center"/>
    </xf>
    <xf numFmtId="0" fontId="3" fillId="0" borderId="4" xfId="0" applyFont="1" applyBorder="1" applyAlignment="1"/>
    <xf numFmtId="0" fontId="3" fillId="3" borderId="0" xfId="0" applyFont="1" applyFill="1" applyAlignment="1"/>
    <xf numFmtId="0" fontId="7" fillId="0" borderId="17" xfId="0" applyFont="1" applyBorder="1" applyAlignment="1">
      <alignment horizontal="center"/>
    </xf>
    <xf numFmtId="49" fontId="2" fillId="3" borderId="47" xfId="0" applyNumberFormat="1" applyFont="1" applyFill="1" applyBorder="1" applyAlignment="1"/>
    <xf numFmtId="0" fontId="2" fillId="3" borderId="48" xfId="0" applyFont="1" applyFill="1" applyBorder="1" applyAlignment="1"/>
    <xf numFmtId="0" fontId="3" fillId="0" borderId="30" xfId="0" applyFont="1" applyBorder="1" applyAlignment="1"/>
    <xf numFmtId="0" fontId="7" fillId="3" borderId="14" xfId="0" applyFont="1" applyFill="1" applyBorder="1" applyAlignment="1">
      <alignment horizontal="center"/>
    </xf>
    <xf numFmtId="0" fontId="2" fillId="5" borderId="23" xfId="0" applyFont="1" applyFill="1" applyBorder="1" applyAlignment="1"/>
    <xf numFmtId="49" fontId="2" fillId="0" borderId="3" xfId="0" applyNumberFormat="1" applyFont="1" applyBorder="1" applyAlignment="1"/>
    <xf numFmtId="0" fontId="3" fillId="0" borderId="41" xfId="0" applyFont="1" applyBorder="1" applyAlignment="1"/>
    <xf numFmtId="0" fontId="7" fillId="0" borderId="41" xfId="0" applyFont="1" applyBorder="1" applyAlignment="1">
      <alignment horizontal="center"/>
    </xf>
    <xf numFmtId="164" fontId="2" fillId="0" borderId="3" xfId="0" applyNumberFormat="1" applyFont="1" applyBorder="1" applyAlignment="1"/>
    <xf numFmtId="0" fontId="14" fillId="3" borderId="14" xfId="0" applyFont="1" applyFill="1" applyBorder="1" applyAlignment="1"/>
    <xf numFmtId="0" fontId="3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49" fontId="2" fillId="0" borderId="43" xfId="0" applyNumberFormat="1" applyFont="1" applyBorder="1" applyAlignment="1"/>
    <xf numFmtId="0" fontId="2" fillId="0" borderId="34" xfId="0" applyFont="1" applyBorder="1" applyAlignment="1"/>
    <xf numFmtId="0" fontId="2" fillId="3" borderId="10" xfId="0" applyFont="1" applyFill="1" applyBorder="1" applyAlignment="1"/>
    <xf numFmtId="0" fontId="2" fillId="3" borderId="21" xfId="0" applyFont="1" applyFill="1" applyBorder="1" applyAlignment="1"/>
    <xf numFmtId="0" fontId="13" fillId="0" borderId="23" xfId="0" applyFont="1" applyBorder="1" applyAlignment="1">
      <alignment horizontal="center"/>
    </xf>
    <xf numFmtId="49" fontId="2" fillId="0" borderId="0" xfId="0" applyNumberFormat="1" applyFont="1" applyAlignment="1"/>
    <xf numFmtId="164" fontId="3" fillId="2" borderId="1" xfId="0" applyNumberFormat="1" applyFont="1" applyFill="1" applyBorder="1" applyAlignment="1">
      <alignment horizontal="center"/>
    </xf>
    <xf numFmtId="0" fontId="2" fillId="2" borderId="5" xfId="0" applyFont="1" applyFill="1" applyBorder="1" applyAlignment="1"/>
    <xf numFmtId="0" fontId="3" fillId="2" borderId="49" xfId="0" applyFont="1" applyFill="1" applyBorder="1" applyAlignment="1">
      <alignment horizontal="center"/>
    </xf>
    <xf numFmtId="0" fontId="3" fillId="2" borderId="50" xfId="0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2" fillId="0" borderId="52" xfId="0" applyFont="1" applyBorder="1" applyAlignment="1"/>
    <xf numFmtId="0" fontId="2" fillId="0" borderId="17" xfId="0" applyFont="1" applyBorder="1" applyAlignment="1"/>
    <xf numFmtId="0" fontId="2" fillId="0" borderId="29" xfId="0" applyFont="1" applyBorder="1" applyAlignment="1"/>
    <xf numFmtId="0" fontId="2" fillId="0" borderId="13" xfId="0" applyFont="1" applyBorder="1" applyAlignment="1"/>
    <xf numFmtId="0" fontId="3" fillId="0" borderId="21" xfId="0" applyFont="1" applyBorder="1" applyAlignment="1"/>
    <xf numFmtId="0" fontId="7" fillId="0" borderId="15" xfId="0" applyFont="1" applyBorder="1" applyAlignment="1">
      <alignment horizontal="center"/>
    </xf>
    <xf numFmtId="0" fontId="7" fillId="3" borderId="53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2" fillId="0" borderId="54" xfId="0" applyFont="1" applyBorder="1"/>
    <xf numFmtId="0" fontId="3" fillId="0" borderId="55" xfId="0" applyFont="1" applyBorder="1" applyAlignment="1"/>
    <xf numFmtId="0" fontId="3" fillId="8" borderId="4" xfId="0" applyFont="1" applyFill="1" applyBorder="1"/>
    <xf numFmtId="20" fontId="2" fillId="0" borderId="20" xfId="0" applyNumberFormat="1" applyFont="1" applyBorder="1" applyAlignment="1"/>
    <xf numFmtId="49" fontId="2" fillId="0" borderId="46" xfId="0" applyNumberFormat="1" applyFont="1" applyBorder="1" applyAlignment="1"/>
    <xf numFmtId="0" fontId="2" fillId="3" borderId="34" xfId="0" applyFont="1" applyFill="1" applyBorder="1" applyAlignment="1"/>
    <xf numFmtId="49" fontId="2" fillId="9" borderId="56" xfId="0" applyNumberFormat="1" applyFont="1" applyFill="1" applyBorder="1" applyAlignment="1"/>
    <xf numFmtId="0" fontId="2" fillId="9" borderId="4" xfId="0" applyFont="1" applyFill="1" applyBorder="1" applyAlignment="1"/>
    <xf numFmtId="0" fontId="3" fillId="9" borderId="30" xfId="0" applyFont="1" applyFill="1" applyBorder="1" applyAlignment="1"/>
    <xf numFmtId="0" fontId="3" fillId="9" borderId="0" xfId="0" applyFont="1" applyFill="1" applyAlignment="1"/>
    <xf numFmtId="0" fontId="2" fillId="9" borderId="5" xfId="0" applyFont="1" applyFill="1" applyBorder="1" applyAlignment="1"/>
    <xf numFmtId="0" fontId="3" fillId="9" borderId="30" xfId="0" applyFont="1" applyFill="1" applyBorder="1" applyAlignment="1">
      <alignment horizontal="center"/>
    </xf>
    <xf numFmtId="20" fontId="2" fillId="9" borderId="30" xfId="0" applyNumberFormat="1" applyFont="1" applyFill="1" applyBorder="1" applyAlignment="1"/>
    <xf numFmtId="0" fontId="2" fillId="9" borderId="0" xfId="0" applyFont="1" applyFill="1" applyAlignment="1"/>
    <xf numFmtId="0" fontId="2" fillId="9" borderId="30" xfId="0" applyFont="1" applyFill="1" applyBorder="1" applyAlignment="1"/>
    <xf numFmtId="0" fontId="2" fillId="9" borderId="28" xfId="0" applyFont="1" applyFill="1" applyBorder="1" applyAlignment="1"/>
    <xf numFmtId="49" fontId="2" fillId="9" borderId="3" xfId="0" applyNumberFormat="1" applyFont="1" applyFill="1" applyBorder="1" applyAlignment="1"/>
    <xf numFmtId="0" fontId="2" fillId="9" borderId="20" xfId="0" applyFont="1" applyFill="1" applyBorder="1" applyAlignment="1"/>
    <xf numFmtId="0" fontId="3" fillId="9" borderId="14" xfId="0" applyFont="1" applyFill="1" applyBorder="1" applyAlignment="1"/>
    <xf numFmtId="0" fontId="2" fillId="9" borderId="14" xfId="0" applyFont="1" applyFill="1" applyBorder="1" applyAlignment="1"/>
    <xf numFmtId="0" fontId="2" fillId="9" borderId="12" xfId="0" applyFont="1" applyFill="1" applyBorder="1" applyAlignment="1"/>
    <xf numFmtId="49" fontId="2" fillId="9" borderId="36" xfId="0" applyNumberFormat="1" applyFont="1" applyFill="1" applyBorder="1" applyAlignment="1"/>
    <xf numFmtId="0" fontId="3" fillId="9" borderId="5" xfId="0" applyFont="1" applyFill="1" applyBorder="1" applyAlignment="1"/>
    <xf numFmtId="0" fontId="3" fillId="9" borderId="41" xfId="0" applyFont="1" applyFill="1" applyBorder="1" applyAlignment="1"/>
    <xf numFmtId="0" fontId="2" fillId="9" borderId="6" xfId="0" applyFont="1" applyFill="1" applyBorder="1" applyAlignment="1"/>
    <xf numFmtId="0" fontId="3" fillId="9" borderId="15" xfId="0" applyFont="1" applyFill="1" applyBorder="1" applyAlignment="1">
      <alignment horizontal="center"/>
    </xf>
    <xf numFmtId="0" fontId="3" fillId="7" borderId="30" xfId="0" applyFont="1" applyFill="1" applyBorder="1" applyAlignment="1"/>
    <xf numFmtId="0" fontId="2" fillId="9" borderId="15" xfId="0" applyFont="1" applyFill="1" applyBorder="1" applyAlignment="1"/>
    <xf numFmtId="0" fontId="2" fillId="9" borderId="16" xfId="0" applyFont="1" applyFill="1" applyBorder="1" applyAlignment="1"/>
    <xf numFmtId="0" fontId="2" fillId="2" borderId="37" xfId="0" applyFont="1" applyFill="1" applyBorder="1" applyAlignment="1"/>
    <xf numFmtId="49" fontId="2" fillId="9" borderId="46" xfId="0" applyNumberFormat="1" applyFont="1" applyFill="1" applyBorder="1" applyAlignment="1"/>
    <xf numFmtId="0" fontId="2" fillId="9" borderId="40" xfId="0" applyFont="1" applyFill="1" applyBorder="1" applyAlignment="1"/>
    <xf numFmtId="0" fontId="3" fillId="9" borderId="10" xfId="0" applyFont="1" applyFill="1" applyBorder="1" applyAlignment="1"/>
    <xf numFmtId="0" fontId="2" fillId="9" borderId="23" xfId="0" applyFont="1" applyFill="1" applyBorder="1" applyAlignment="1">
      <alignment vertical="top"/>
    </xf>
    <xf numFmtId="0" fontId="2" fillId="9" borderId="23" xfId="0" applyFont="1" applyFill="1" applyBorder="1" applyAlignment="1"/>
    <xf numFmtId="49" fontId="12" fillId="5" borderId="0" xfId="0" applyNumberFormat="1" applyFont="1" applyFill="1" applyAlignment="1"/>
    <xf numFmtId="0" fontId="2" fillId="5" borderId="0" xfId="0" applyFont="1" applyFill="1" applyAlignment="1"/>
    <xf numFmtId="0" fontId="2" fillId="0" borderId="0" xfId="0" applyFont="1"/>
    <xf numFmtId="0" fontId="3" fillId="2" borderId="57" xfId="0" applyFont="1" applyFill="1" applyBorder="1" applyAlignment="1">
      <alignment horizontal="center"/>
    </xf>
    <xf numFmtId="0" fontId="2" fillId="2" borderId="58" xfId="0" applyFont="1" applyFill="1" applyBorder="1" applyAlignment="1"/>
    <xf numFmtId="0" fontId="7" fillId="0" borderId="59" xfId="0" applyFont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15" fillId="0" borderId="14" xfId="0" applyFont="1" applyBorder="1" applyAlignment="1"/>
    <xf numFmtId="0" fontId="16" fillId="0" borderId="0" xfId="0" applyFont="1" applyAlignment="1"/>
    <xf numFmtId="0" fontId="2" fillId="0" borderId="30" xfId="0" applyFont="1" applyBorder="1" applyAlignment="1">
      <alignment vertical="top"/>
    </xf>
    <xf numFmtId="0" fontId="3" fillId="3" borderId="21" xfId="0" applyFont="1" applyFill="1" applyBorder="1" applyAlignment="1">
      <alignment horizontal="center"/>
    </xf>
    <xf numFmtId="49" fontId="2" fillId="3" borderId="60" xfId="0" applyNumberFormat="1" applyFont="1" applyFill="1" applyBorder="1" applyAlignment="1"/>
    <xf numFmtId="0" fontId="3" fillId="0" borderId="6" xfId="0" applyFont="1" applyBorder="1" applyAlignment="1"/>
    <xf numFmtId="0" fontId="3" fillId="8" borderId="55" xfId="0" applyFont="1" applyFill="1" applyBorder="1" applyAlignment="1"/>
    <xf numFmtId="0" fontId="2" fillId="2" borderId="61" xfId="0" applyFont="1" applyFill="1" applyBorder="1" applyAlignment="1"/>
    <xf numFmtId="0" fontId="2" fillId="3" borderId="40" xfId="0" applyFont="1" applyFill="1" applyBorder="1" applyAlignment="1"/>
    <xf numFmtId="0" fontId="3" fillId="3" borderId="22" xfId="0" applyFont="1" applyFill="1" applyBorder="1" applyAlignment="1">
      <alignment horizontal="center"/>
    </xf>
    <xf numFmtId="0" fontId="2" fillId="2" borderId="20" xfId="0" applyFont="1" applyFill="1" applyBorder="1" applyAlignment="1"/>
    <xf numFmtId="49" fontId="2" fillId="0" borderId="56" xfId="0" applyNumberFormat="1" applyFont="1" applyBorder="1" applyAlignment="1"/>
    <xf numFmtId="0" fontId="2" fillId="0" borderId="4" xfId="0" applyFont="1" applyBorder="1" applyAlignment="1"/>
    <xf numFmtId="20" fontId="3" fillId="8" borderId="62" xfId="0" applyNumberFormat="1" applyFont="1" applyFill="1" applyBorder="1" applyAlignment="1">
      <alignment horizontal="right"/>
    </xf>
    <xf numFmtId="0" fontId="3" fillId="8" borderId="5" xfId="0" applyFont="1" applyFill="1" applyBorder="1" applyAlignment="1"/>
    <xf numFmtId="0" fontId="2" fillId="0" borderId="5" xfId="0" applyFont="1" applyBorder="1" applyAlignment="1"/>
    <xf numFmtId="0" fontId="3" fillId="0" borderId="30" xfId="0" applyFont="1" applyBorder="1" applyAlignment="1">
      <alignment horizontal="center"/>
    </xf>
    <xf numFmtId="0" fontId="2" fillId="0" borderId="30" xfId="0" applyFont="1" applyBorder="1" applyAlignment="1"/>
    <xf numFmtId="0" fontId="2" fillId="0" borderId="28" xfId="0" applyFont="1" applyBorder="1" applyAlignment="1"/>
    <xf numFmtId="0" fontId="2" fillId="0" borderId="20" xfId="0" applyFont="1" applyBorder="1" applyAlignment="1"/>
    <xf numFmtId="49" fontId="2" fillId="0" borderId="36" xfId="0" applyNumberFormat="1" applyFont="1" applyBorder="1" applyAlignme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2" borderId="63" xfId="0" applyFont="1" applyFill="1" applyBorder="1" applyAlignment="1"/>
    <xf numFmtId="0" fontId="2" fillId="0" borderId="40" xfId="0" applyFont="1" applyBorder="1" applyAlignment="1"/>
    <xf numFmtId="0" fontId="3" fillId="0" borderId="10" xfId="0" applyFont="1" applyBorder="1" applyAlignment="1"/>
    <xf numFmtId="0" fontId="3" fillId="0" borderId="23" xfId="0" applyFont="1" applyBorder="1" applyAlignment="1">
      <alignment horizontal="center" vertical="top"/>
    </xf>
    <xf numFmtId="0" fontId="2" fillId="3" borderId="64" xfId="0" applyFont="1" applyFill="1" applyBorder="1" applyAlignment="1"/>
    <xf numFmtId="0" fontId="2" fillId="3" borderId="65" xfId="0" applyFont="1" applyFill="1" applyBorder="1" applyAlignment="1"/>
    <xf numFmtId="0" fontId="13" fillId="3" borderId="41" xfId="0" applyFont="1" applyFill="1" applyBorder="1" applyAlignment="1"/>
    <xf numFmtId="0" fontId="3" fillId="0" borderId="55" xfId="0" applyFont="1" applyBorder="1" applyAlignment="1">
      <alignment horizontal="center"/>
    </xf>
    <xf numFmtId="0" fontId="2" fillId="3" borderId="2" xfId="0" applyFont="1" applyFill="1" applyBorder="1" applyAlignment="1"/>
    <xf numFmtId="0" fontId="3" fillId="0" borderId="20" xfId="0" applyFont="1" applyBorder="1" applyAlignment="1">
      <alignment vertical="top"/>
    </xf>
    <xf numFmtId="0" fontId="3" fillId="0" borderId="10" xfId="0" applyFont="1" applyBorder="1" applyAlignment="1">
      <alignment horizontal="center"/>
    </xf>
    <xf numFmtId="0" fontId="13" fillId="0" borderId="5" xfId="0" applyFont="1" applyBorder="1" applyAlignment="1"/>
    <xf numFmtId="0" fontId="8" fillId="0" borderId="14" xfId="0" applyFont="1" applyBorder="1" applyAlignment="1"/>
    <xf numFmtId="0" fontId="3" fillId="0" borderId="13" xfId="0" applyFont="1" applyBorder="1" applyAlignment="1">
      <alignment horizontal="center"/>
    </xf>
    <xf numFmtId="0" fontId="13" fillId="9" borderId="0" xfId="0" applyFont="1" applyFill="1" applyAlignment="1"/>
    <xf numFmtId="0" fontId="2" fillId="0" borderId="9" xfId="0" applyFont="1" applyBorder="1" applyAlignment="1"/>
    <xf numFmtId="0" fontId="2" fillId="3" borderId="62" xfId="0" applyFont="1" applyFill="1" applyBorder="1" applyAlignment="1"/>
    <xf numFmtId="0" fontId="3" fillId="7" borderId="41" xfId="0" applyFont="1" applyFill="1" applyBorder="1" applyAlignment="1"/>
    <xf numFmtId="0" fontId="2" fillId="0" borderId="37" xfId="0" applyFont="1" applyBorder="1" applyAlignment="1"/>
    <xf numFmtId="0" fontId="2" fillId="0" borderId="10" xfId="0" applyFont="1" applyBorder="1" applyAlignment="1">
      <alignment vertical="top"/>
    </xf>
    <xf numFmtId="164" fontId="2" fillId="0" borderId="66" xfId="0" applyNumberFormat="1" applyFont="1" applyBorder="1" applyAlignment="1"/>
    <xf numFmtId="0" fontId="3" fillId="3" borderId="67" xfId="0" applyFont="1" applyFill="1" applyBorder="1" applyAlignment="1"/>
    <xf numFmtId="0" fontId="2" fillId="0" borderId="62" xfId="0" applyFont="1" applyBorder="1" applyAlignment="1"/>
    <xf numFmtId="0" fontId="3" fillId="7" borderId="14" xfId="0" applyFont="1" applyFill="1" applyBorder="1" applyAlignment="1"/>
    <xf numFmtId="0" fontId="2" fillId="2" borderId="68" xfId="0" applyFont="1" applyFill="1" applyBorder="1" applyAlignment="1"/>
    <xf numFmtId="0" fontId="10" fillId="0" borderId="9" xfId="0" applyFont="1" applyBorder="1" applyAlignment="1"/>
    <xf numFmtId="0" fontId="3" fillId="5" borderId="14" xfId="0" applyFont="1" applyFill="1" applyBorder="1" applyAlignment="1"/>
    <xf numFmtId="0" fontId="2" fillId="0" borderId="18" xfId="0" applyFont="1" applyBorder="1" applyAlignment="1"/>
    <xf numFmtId="0" fontId="3" fillId="0" borderId="1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3" fillId="3" borderId="23" xfId="0" applyFont="1" applyFill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2" fillId="0" borderId="70" xfId="0" applyFont="1" applyBorder="1" applyAlignment="1"/>
    <xf numFmtId="0" fontId="2" fillId="0" borderId="7" xfId="0" applyFont="1" applyBorder="1" applyAlignment="1"/>
    <xf numFmtId="0" fontId="2" fillId="3" borderId="71" xfId="0" applyFont="1" applyFill="1" applyBorder="1" applyAlignment="1"/>
    <xf numFmtId="0" fontId="7" fillId="3" borderId="20" xfId="0" applyFont="1" applyFill="1" applyBorder="1" applyAlignment="1">
      <alignment horizontal="center"/>
    </xf>
    <xf numFmtId="0" fontId="2" fillId="0" borderId="31" xfId="0" applyFont="1" applyBorder="1" applyAlignment="1"/>
    <xf numFmtId="0" fontId="2" fillId="2" borderId="65" xfId="0" applyFont="1" applyFill="1" applyBorder="1" applyAlignment="1"/>
    <xf numFmtId="49" fontId="3" fillId="3" borderId="72" xfId="0" applyNumberFormat="1" applyFont="1" applyFill="1" applyBorder="1" applyAlignment="1">
      <alignment horizontal="center"/>
    </xf>
    <xf numFmtId="0" fontId="3" fillId="3" borderId="73" xfId="0" applyFont="1" applyFill="1" applyBorder="1" applyAlignment="1">
      <alignment horizontal="center"/>
    </xf>
    <xf numFmtId="0" fontId="2" fillId="3" borderId="1" xfId="0" applyFont="1" applyFill="1" applyBorder="1" applyAlignment="1"/>
    <xf numFmtId="164" fontId="3" fillId="0" borderId="74" xfId="0" applyNumberFormat="1" applyFont="1" applyBorder="1" applyAlignment="1">
      <alignment horizontal="right"/>
    </xf>
    <xf numFmtId="0" fontId="3" fillId="5" borderId="17" xfId="0" applyFont="1" applyFill="1" applyBorder="1" applyAlignment="1"/>
    <xf numFmtId="0" fontId="3" fillId="5" borderId="69" xfId="0" applyFont="1" applyFill="1" applyBorder="1" applyAlignment="1"/>
    <xf numFmtId="0" fontId="3" fillId="0" borderId="4" xfId="0" applyFont="1" applyBorder="1" applyAlignment="1">
      <alignment horizontal="center"/>
    </xf>
    <xf numFmtId="0" fontId="2" fillId="5" borderId="15" xfId="0" applyFont="1" applyFill="1" applyBorder="1" applyAlignment="1"/>
    <xf numFmtId="0" fontId="3" fillId="5" borderId="15" xfId="0" applyFont="1" applyFill="1" applyBorder="1" applyAlignment="1"/>
    <xf numFmtId="0" fontId="17" fillId="5" borderId="19" xfId="0" applyFont="1" applyFill="1" applyBorder="1" applyAlignment="1"/>
    <xf numFmtId="0" fontId="17" fillId="5" borderId="23" xfId="0" applyFont="1" applyFill="1" applyBorder="1" applyAlignment="1"/>
    <xf numFmtId="0" fontId="3" fillId="10" borderId="1" xfId="0" applyFont="1" applyFill="1" applyBorder="1" applyAlignment="1">
      <alignment horizontal="center"/>
    </xf>
    <xf numFmtId="49" fontId="3" fillId="3" borderId="36" xfId="0" applyNumberFormat="1" applyFont="1" applyFill="1" applyBorder="1" applyAlignment="1">
      <alignment horizontal="center"/>
    </xf>
    <xf numFmtId="0" fontId="3" fillId="3" borderId="69" xfId="0" applyFont="1" applyFill="1" applyBorder="1" applyAlignment="1"/>
    <xf numFmtId="49" fontId="3" fillId="3" borderId="75" xfId="0" applyNumberFormat="1" applyFont="1" applyFill="1" applyBorder="1" applyAlignment="1">
      <alignment horizontal="center"/>
    </xf>
    <xf numFmtId="0" fontId="2" fillId="3" borderId="5" xfId="0" applyFont="1" applyFill="1" applyBorder="1" applyAlignment="1"/>
    <xf numFmtId="0" fontId="2" fillId="5" borderId="5" xfId="0" applyFont="1" applyFill="1" applyBorder="1" applyAlignment="1"/>
    <xf numFmtId="0" fontId="3" fillId="5" borderId="76" xfId="0" applyFont="1" applyFill="1" applyBorder="1" applyAlignment="1"/>
    <xf numFmtId="49" fontId="3" fillId="3" borderId="77" xfId="0" applyNumberFormat="1" applyFont="1" applyFill="1" applyBorder="1" applyAlignment="1">
      <alignment horizontal="center"/>
    </xf>
    <xf numFmtId="0" fontId="2" fillId="5" borderId="1" xfId="0" applyFont="1" applyFill="1" applyBorder="1" applyAlignment="1"/>
    <xf numFmtId="0" fontId="3" fillId="5" borderId="1" xfId="0" applyFont="1" applyFill="1" applyBorder="1" applyAlignme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/>
    <xf numFmtId="0" fontId="3" fillId="5" borderId="4" xfId="0" applyFont="1" applyFill="1" applyBorder="1" applyAlignment="1"/>
    <xf numFmtId="0" fontId="12" fillId="0" borderId="0" xfId="0" applyFont="1" applyAlignment="1"/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21" fillId="11" borderId="0" xfId="0" applyFont="1" applyFill="1" applyAlignment="1"/>
    <xf numFmtId="0" fontId="22" fillId="11" borderId="0" xfId="0" applyFont="1" applyFill="1" applyAlignment="1">
      <alignment horizontal="center"/>
    </xf>
    <xf numFmtId="0" fontId="21" fillId="12" borderId="0" xfId="0" applyFont="1" applyFill="1" applyAlignment="1"/>
    <xf numFmtId="0" fontId="23" fillId="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1" fillId="13" borderId="0" xfId="0" applyFont="1" applyFill="1" applyAlignment="1"/>
    <xf numFmtId="0" fontId="21" fillId="14" borderId="0" xfId="0" applyFont="1" applyFill="1" applyAlignment="1"/>
    <xf numFmtId="0" fontId="21" fillId="9" borderId="0" xfId="0" applyFont="1" applyFill="1" applyAlignment="1"/>
    <xf numFmtId="0" fontId="22" fillId="9" borderId="0" xfId="0" applyFont="1" applyFill="1" applyAlignment="1">
      <alignment horizontal="center"/>
    </xf>
    <xf numFmtId="0" fontId="24" fillId="9" borderId="0" xfId="0" applyFont="1" applyFill="1" applyAlignment="1"/>
    <xf numFmtId="0" fontId="25" fillId="9" borderId="0" xfId="0" applyFont="1" applyFill="1" applyAlignment="1"/>
    <xf numFmtId="0" fontId="2" fillId="12" borderId="0" xfId="0" applyFont="1" applyFill="1" applyAlignment="1"/>
    <xf numFmtId="0" fontId="21" fillId="15" borderId="0" xfId="0" applyFont="1" applyFill="1" applyAlignment="1"/>
    <xf numFmtId="0" fontId="22" fillId="15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2" fillId="13" borderId="0" xfId="0" applyFont="1" applyFill="1" applyAlignment="1">
      <alignment horizontal="center"/>
    </xf>
    <xf numFmtId="0" fontId="21" fillId="0" borderId="0" xfId="0" applyFont="1" applyAlignment="1">
      <alignment horizontal="center" vertical="center"/>
    </xf>
    <xf numFmtId="0" fontId="0" fillId="0" borderId="0" xfId="0" applyFont="1" applyAlignment="1"/>
    <xf numFmtId="0" fontId="1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lu-se.zoom.us/j/63681414979" TargetMode="External"/><Relationship Id="rId1" Type="http://schemas.openxmlformats.org/officeDocument/2006/relationships/hyperlink" Target="http://t.ly/FTRw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H1000"/>
  <sheetViews>
    <sheetView tabSelected="1" workbookViewId="0"/>
  </sheetViews>
  <sheetFormatPr defaultColWidth="12.5703125" defaultRowHeight="15.75" customHeight="1"/>
  <cols>
    <col min="1" max="1" width="2.28515625" customWidth="1"/>
    <col min="2" max="2" width="4.28515625" customWidth="1"/>
    <col min="3" max="3" width="7.28515625" customWidth="1"/>
    <col min="4" max="4" width="10.140625" customWidth="1"/>
    <col min="6" max="6" width="95.28515625" customWidth="1"/>
  </cols>
  <sheetData>
    <row r="1" spans="2:8" ht="15.75" customHeight="1">
      <c r="B1" s="1" t="str">
        <f ca="1">IFERROR(__xludf.DUMMYFUNCTION("IMPORTRANGE(""1cr-_9jHKtV_yAPaEP41O-DgqAoWqwYHEyf1_7-M3naY/"",""Course program!b1:h210"")"),"Schedule LB0108 Agroecology Basics 15 HEC 2024")</f>
        <v>Schedule LB0108 Agroecology Basics 15 HEC 2024</v>
      </c>
      <c r="C1" s="2"/>
      <c r="D1" s="2"/>
      <c r="E1" s="2"/>
      <c r="F1" s="2"/>
      <c r="G1" s="2"/>
      <c r="H1" s="2"/>
    </row>
    <row r="2" spans="2:8">
      <c r="B2" s="2"/>
      <c r="C2" s="2"/>
      <c r="D2" s="2"/>
      <c r="E2" s="2"/>
      <c r="F2" s="2"/>
      <c r="G2" s="2"/>
      <c r="H2" s="2"/>
    </row>
    <row r="3" spans="2:8">
      <c r="B3" s="3" t="str">
        <f ca="1">IFERROR(__xludf.DUMMYFUNCTION("""COMPUTED_VALUE"""),"The course aims to provide  students with basic and advanced knowledge and the ability to understand human-dominated ecosystems ")</f>
        <v xml:space="preserve">The course aims to provide  students with basic and advanced knowledge and the ability to understand human-dominated ecosystems </v>
      </c>
      <c r="C3" s="2"/>
      <c r="D3" s="2"/>
      <c r="E3" s="2"/>
      <c r="F3" s="2"/>
      <c r="G3" s="2"/>
      <c r="H3" s="2"/>
    </row>
    <row r="4" spans="2:8">
      <c r="B4" s="3" t="str">
        <f ca="1">IFERROR(__xludf.DUMMYFUNCTION("""COMPUTED_VALUE"""),"and their interaction/connectivity with the surrounding environment (natural and cultural), with the focus on agriculture systems.")</f>
        <v>and their interaction/connectivity with the surrounding environment (natural and cultural), with the focus on agriculture systems.</v>
      </c>
      <c r="C4" s="2"/>
      <c r="D4" s="2"/>
      <c r="E4" s="2"/>
      <c r="F4" s="2"/>
      <c r="G4" s="2"/>
      <c r="H4" s="2"/>
    </row>
    <row r="5" spans="2:8">
      <c r="B5" s="2"/>
      <c r="C5" s="2"/>
      <c r="D5" s="2"/>
      <c r="E5" s="2"/>
      <c r="F5" s="2"/>
      <c r="G5" s="2"/>
      <c r="H5" s="2"/>
    </row>
    <row r="6" spans="2:8">
      <c r="B6" s="3" t="str">
        <f ca="1">IFERROR(__xludf.DUMMYFUNCTION("""COMPUTED_VALUE"""),"On completion of the course, students will be able to:")</f>
        <v>On completion of the course, students will be able to:</v>
      </c>
      <c r="C6" s="2"/>
      <c r="D6" s="2"/>
      <c r="E6" s="2"/>
      <c r="F6" s="2"/>
      <c r="G6" s="2"/>
      <c r="H6" s="2"/>
    </row>
    <row r="7" spans="2:8">
      <c r="B7" s="3" t="str">
        <f ca="1">IFERROR(__xludf.DUMMYFUNCTION("""COMPUTED_VALUE""")," - describe and critically analyse farming systems, including mutual interactions of socio-economical and biological components.")</f>
        <v xml:space="preserve"> - describe and critically analyse farming systems, including mutual interactions of socio-economical and biological components.</v>
      </c>
      <c r="C7" s="2"/>
      <c r="D7" s="2"/>
      <c r="E7" s="2"/>
      <c r="F7" s="2"/>
      <c r="G7" s="2"/>
      <c r="H7" s="2"/>
    </row>
    <row r="8" spans="2:8">
      <c r="B8" s="3" t="str">
        <f ca="1">IFERROR(__xludf.DUMMYFUNCTION("""COMPUTED_VALUE""")," - demonstrate methodological skills in application of holistic and farming systems descriptions and analyses.")</f>
        <v xml:space="preserve"> - demonstrate methodological skills in application of holistic and farming systems descriptions and analyses.</v>
      </c>
      <c r="C8" s="2"/>
      <c r="D8" s="2"/>
      <c r="E8" s="2"/>
      <c r="F8" s="2"/>
      <c r="G8" s="2"/>
      <c r="H8" s="2"/>
    </row>
    <row r="9" spans="2:8">
      <c r="B9" s="3" t="str">
        <f ca="1">IFERROR(__xludf.DUMMYFUNCTION("""COMPUTED_VALUE"""),"The course starts Sept 2nd and ends on October 31st 2024")</f>
        <v>The course starts Sept 2nd and ends on October 31st 2024</v>
      </c>
      <c r="C9" s="2"/>
      <c r="D9" s="2"/>
      <c r="E9" s="2"/>
      <c r="F9" s="2"/>
      <c r="G9" s="2"/>
      <c r="H9" s="2"/>
    </row>
    <row r="10" spans="2:8">
      <c r="B10" s="2"/>
      <c r="C10" s="2"/>
      <c r="D10" s="2"/>
      <c r="E10" s="2"/>
      <c r="F10" s="2"/>
      <c r="G10" s="2"/>
      <c r="H10" s="2"/>
    </row>
    <row r="11" spans="2:8">
      <c r="B11" s="4" t="str">
        <f ca="1">IFERROR(__xludf.DUMMYFUNCTION("""COMPUTED_VALUE"""),"Teachers (see at the bottom of the schedule)")</f>
        <v>Teachers (see at the bottom of the schedule)</v>
      </c>
      <c r="C11" s="2"/>
      <c r="D11" s="2"/>
      <c r="E11" s="2"/>
      <c r="F11" s="2"/>
      <c r="G11" s="2"/>
      <c r="H11" s="2"/>
    </row>
    <row r="12" spans="2:8">
      <c r="B12" s="2"/>
      <c r="C12" s="2"/>
      <c r="D12" s="2"/>
      <c r="E12" s="2"/>
      <c r="F12" s="2"/>
      <c r="G12" s="2"/>
      <c r="H12" s="2"/>
    </row>
    <row r="13" spans="2:8">
      <c r="B13" s="4" t="str">
        <f ca="1">IFERROR(__xludf.DUMMYFUNCTION("""COMPUTED_VALUE"""),"Course administrators")</f>
        <v>Course administrators</v>
      </c>
      <c r="C13" s="2"/>
      <c r="D13" s="2"/>
      <c r="E13" s="2"/>
      <c r="F13" s="2"/>
      <c r="G13" s="2"/>
      <c r="H13" s="2"/>
    </row>
    <row r="14" spans="2:8">
      <c r="B14" s="3" t="str">
        <f ca="1">IFERROR(__xludf.DUMMYFUNCTION("""COMPUTED_VALUE"""),"Katrin Larsson Litsfeldt (katrin.larsson.litsfeldt@slu.se)")</f>
        <v>Katrin Larsson Litsfeldt (katrin.larsson.litsfeldt@slu.se)</v>
      </c>
      <c r="C14" s="2"/>
      <c r="D14" s="2"/>
      <c r="E14" s="2"/>
      <c r="F14" s="2"/>
      <c r="G14" s="2"/>
      <c r="H14" s="2"/>
    </row>
    <row r="15" spans="2:8">
      <c r="B15" s="2"/>
      <c r="C15" s="2"/>
      <c r="D15" s="2"/>
      <c r="E15" s="2"/>
      <c r="F15" s="2"/>
      <c r="G15" s="2"/>
      <c r="H15" s="2"/>
    </row>
    <row r="16" spans="2:8">
      <c r="B16" s="5" t="str">
        <f ca="1">IFERROR(__xludf.DUMMYFUNCTION("""COMPUTED_VALUE"""),"Course leaders")</f>
        <v>Course leaders</v>
      </c>
      <c r="C16" s="2"/>
      <c r="D16" s="2"/>
      <c r="E16" s="2"/>
      <c r="F16" s="2"/>
      <c r="G16" s="2"/>
      <c r="H16" s="2"/>
    </row>
    <row r="17" spans="2:8">
      <c r="B17" s="6" t="str">
        <f ca="1">IFERROR(__xludf.DUMMYFUNCTION("""COMPUTED_VALUE"""),"Teun Dekker (teun.dekker@slu.se) ")</f>
        <v xml:space="preserve">Teun Dekker (teun.dekker@slu.se) </v>
      </c>
      <c r="C17" s="2"/>
      <c r="D17" s="2"/>
      <c r="E17" s="2"/>
      <c r="F17" s="2"/>
      <c r="G17" s="2"/>
      <c r="H17" s="2"/>
    </row>
    <row r="18" spans="2:8">
      <c r="B18" s="6" t="str">
        <f ca="1">IFERROR(__xludf.DUMMYFUNCTION("""COMPUTED_VALUE"""),"Student representative: Adeline Langlet (adlt0002@stud.slu.se)")</f>
        <v>Student representative: Adeline Langlet (adlt0002@stud.slu.se)</v>
      </c>
      <c r="C18" s="2"/>
      <c r="D18" s="2"/>
      <c r="E18" s="2"/>
      <c r="F18" s="2"/>
      <c r="G18" s="2"/>
      <c r="H18" s="2"/>
    </row>
    <row r="19" spans="2:8">
      <c r="B19" s="2"/>
      <c r="C19" s="2"/>
      <c r="D19" s="2"/>
      <c r="E19" s="2"/>
      <c r="F19" s="2"/>
      <c r="G19" s="2"/>
      <c r="H19" s="2"/>
    </row>
    <row r="20" spans="2:8">
      <c r="B20" s="6" t="str">
        <f ca="1">IFERROR(__xludf.DUMMYFUNCTION("""COMPUTED_VALUE"""),"The final mark will be based on the following assignments:")</f>
        <v>The final mark will be based on the following assignments:</v>
      </c>
      <c r="C20" s="2"/>
      <c r="D20" s="2"/>
      <c r="E20" s="2"/>
      <c r="F20" s="2"/>
      <c r="G20" s="2"/>
      <c r="H20" s="2"/>
    </row>
    <row r="21" spans="2:8">
      <c r="B21" s="6" t="str">
        <f ca="1">IFERROR(__xludf.DUMMYFUNCTION("""COMPUTED_VALUE"""),"1) Timely submission and pass of assignments 1 (incl peer review). Pass/Fail 2 hp")</f>
        <v>1) Timely submission and pass of assignments 1 (incl peer review). Pass/Fail 2 hp</v>
      </c>
      <c r="C21" s="2"/>
      <c r="D21" s="2"/>
      <c r="E21" s="2"/>
      <c r="F21" s="2"/>
      <c r="G21" s="2"/>
      <c r="H21" s="2"/>
    </row>
    <row r="22" spans="2:8">
      <c r="B22" s="6" t="str">
        <f ca="1">IFERROR(__xludf.DUMMYFUNCTION("""COMPUTED_VALUE"""),"2) Active participation in group work and presentations (farm analyses, literature discussions, etc). Pass/Fail 2 hp")</f>
        <v>2) Active participation in group work and presentations (farm analyses, literature discussions, etc). Pass/Fail 2 hp</v>
      </c>
      <c r="C22" s="2"/>
      <c r="D22" s="2"/>
      <c r="E22" s="2"/>
      <c r="F22" s="2"/>
      <c r="G22" s="2"/>
      <c r="H22" s="2"/>
    </row>
    <row r="23" spans="2:8">
      <c r="B23" s="6" t="str">
        <f ca="1">IFERROR(__xludf.DUMMYFUNCTION("""COMPUTED_VALUE"""),"3) Oral examination, demonstration of knowledge of the farm analyses and surrounding literature. Score 1-5")</f>
        <v>3) Oral examination, demonstration of knowledge of the farm analyses and surrounding literature. Score 1-5</v>
      </c>
      <c r="C23" s="2"/>
      <c r="D23" s="2"/>
      <c r="E23" s="2"/>
      <c r="F23" s="2"/>
      <c r="G23" s="2"/>
      <c r="H23" s="2"/>
    </row>
    <row r="24" spans="2:8">
      <c r="B24" s="6" t="str">
        <f ca="1">IFERROR(__xludf.DUMMYFUNCTION("""COMPUTED_VALUE"""),"4) Final presentation of the farm analysis. Score 1-5, 3 hp")</f>
        <v>4) Final presentation of the farm analysis. Score 1-5, 3 hp</v>
      </c>
      <c r="C24" s="2"/>
      <c r="D24" s="2"/>
      <c r="E24" s="2"/>
      <c r="F24" s="2"/>
      <c r="G24" s="2"/>
      <c r="H24" s="2"/>
    </row>
    <row r="25" spans="2:8">
      <c r="B25" s="6" t="str">
        <f ca="1">IFERROR(__xludf.DUMMYFUNCTION("""COMPUTED_VALUE"""),"5). Written report. Score 1-5, 6 hp. ")</f>
        <v xml:space="preserve">5). Written report. Score 1-5, 6 hp. </v>
      </c>
      <c r="C25" s="2"/>
      <c r="D25" s="2"/>
      <c r="E25" s="2"/>
      <c r="F25" s="2"/>
      <c r="G25" s="2"/>
      <c r="H25" s="2"/>
    </row>
    <row r="26" spans="2:8">
      <c r="B26" s="6" t="str">
        <f ca="1">IFERROR(__xludf.DUMMYFUNCTION("""COMPUTED_VALUE"""),"Criteria are indicated in the assignment guide. Late submissions of (5) results in 2 point subtraction. The final grade comprises of the oral (25%), the presentation (25%), and the written report (50%).")</f>
        <v>Criteria are indicated in the assignment guide. Late submissions of (5) results in 2 point subtraction. The final grade comprises of the oral (25%), the presentation (25%), and the written report (50%).</v>
      </c>
      <c r="C26" s="2"/>
      <c r="D26" s="2"/>
      <c r="E26" s="2"/>
      <c r="F26" s="2"/>
      <c r="G26" s="2"/>
      <c r="H26" s="2"/>
    </row>
    <row r="27" spans="2:8">
      <c r="B27" s="2"/>
      <c r="C27" s="2"/>
      <c r="D27" s="2"/>
      <c r="E27" s="2"/>
      <c r="F27" s="2"/>
      <c r="G27" s="2"/>
      <c r="H27" s="2"/>
    </row>
    <row r="28" spans="2:8">
      <c r="B28" s="7" t="str">
        <f ca="1">IFERROR(__xludf.DUMMYFUNCTION("""COMPUTED_VALUE"""),"Week")</f>
        <v>Week</v>
      </c>
      <c r="C28" s="7" t="str">
        <f ca="1">IFERROR(__xludf.DUMMYFUNCTION("""COMPUTED_VALUE"""),"Date")</f>
        <v>Date</v>
      </c>
      <c r="D28" s="7" t="str">
        <f ca="1">IFERROR(__xludf.DUMMYFUNCTION("""COMPUTED_VALUE"""),"Day")</f>
        <v>Day</v>
      </c>
      <c r="E28" s="7" t="str">
        <f ca="1">IFERROR(__xludf.DUMMYFUNCTION("""COMPUTED_VALUE"""),"Time")</f>
        <v>Time</v>
      </c>
      <c r="F28" s="8"/>
      <c r="G28" s="7" t="str">
        <f ca="1">IFERROR(__xludf.DUMMYFUNCTION("""COMPUTED_VALUE"""),"Teacher")</f>
        <v>Teacher</v>
      </c>
      <c r="H28" s="7" t="str">
        <f ca="1">IFERROR(__xludf.DUMMYFUNCTION("""COMPUTED_VALUE"""),"Place***")</f>
        <v>Place***</v>
      </c>
    </row>
    <row r="29" spans="2:8">
      <c r="B29" s="9">
        <f ca="1">IFERROR(__xludf.DUMMYFUNCTION("""COMPUTED_VALUE"""),35)</f>
        <v>35</v>
      </c>
      <c r="C29" s="10">
        <f ca="1">IFERROR(__xludf.DUMMYFUNCTION("""COMPUTED_VALUE"""),45537)</f>
        <v>45537</v>
      </c>
      <c r="D29" s="11" t="str">
        <f ca="1">IFERROR(__xludf.DUMMYFUNCTION("""COMPUTED_VALUE"""),"Monday")</f>
        <v>Monday</v>
      </c>
      <c r="E29" s="12" t="str">
        <f ca="1">IFERROR(__xludf.DUMMYFUNCTION("""COMPUTED_VALUE"""),"10:30-11.15")</f>
        <v>10:30-11.15</v>
      </c>
      <c r="F29" s="12" t="str">
        <f ca="1">IFERROR(__xludf.DUMMYFUNCTION("""COMPUTED_VALUE"""),"Roll call students of Agroecology MSc program")</f>
        <v>Roll call students of Agroecology MSc program</v>
      </c>
      <c r="G29" s="13" t="str">
        <f ca="1">IFERROR(__xludf.DUMMYFUNCTION("""COMPUTED_VALUE"""),"TD, KL")</f>
        <v>TD, KL</v>
      </c>
      <c r="H29" s="14"/>
    </row>
    <row r="30" spans="2:8">
      <c r="B30" s="15"/>
      <c r="C30" s="16"/>
      <c r="D30" s="17"/>
      <c r="E30" s="18" t="str">
        <f ca="1">IFERROR(__xludf.DUMMYFUNCTION("""COMPUTED_VALUE"""),"afternoon")</f>
        <v>afternoon</v>
      </c>
      <c r="F30" s="19" t="str">
        <f ca="1">IFERROR(__xludf.DUMMYFUNCTION("""COMPUTED_VALUE"""),"Reading Gliessman Chapter 1-2 and watch Tittonel, Altieri and La Via Campesina videos, see email")</f>
        <v>Reading Gliessman Chapter 1-2 and watch Tittonel, Altieri and La Via Campesina videos, see email</v>
      </c>
      <c r="G30" s="17"/>
      <c r="H30" s="20"/>
    </row>
    <row r="31" spans="2:8">
      <c r="B31" s="21"/>
      <c r="C31" s="22"/>
      <c r="D31" s="23"/>
      <c r="E31" s="24" t="str">
        <f ca="1">IFERROR(__xludf.DUMMYFUNCTION("""COMPUTED_VALUE"""),"09.15 -12.00")</f>
        <v>09.15 -12.00</v>
      </c>
      <c r="F31" s="25" t="str">
        <f ca="1">IFERROR(__xludf.DUMMYFUNCTION("""COMPUTED_VALUE"""),"Presentation of the course, current view, levels and perspectives in agroecology. ")</f>
        <v xml:space="preserve">Presentation of the course, current view, levels and perspectives in agroecology. </v>
      </c>
      <c r="G31" s="26" t="str">
        <f ca="1">IFERROR(__xludf.DUMMYFUNCTION("""COMPUTED_VALUE"""),"TD / RC")</f>
        <v>TD / RC</v>
      </c>
      <c r="H31" s="27" t="str">
        <f ca="1">IFERROR(__xludf.DUMMYFUNCTION("""COMPUTED_VALUE"""),"Articum 2")</f>
        <v>Articum 2</v>
      </c>
    </row>
    <row r="32" spans="2:8">
      <c r="B32" s="15"/>
      <c r="C32" s="10">
        <f ca="1">IFERROR(__xludf.DUMMYFUNCTION("""COMPUTED_VALUE"""),45538)</f>
        <v>45538</v>
      </c>
      <c r="D32" s="28" t="str">
        <f ca="1">IFERROR(__xludf.DUMMYFUNCTION("""COMPUTED_VALUE"""),"Tuesday ")</f>
        <v xml:space="preserve">Tuesday </v>
      </c>
      <c r="E32" s="29"/>
      <c r="F32" s="29"/>
      <c r="G32" s="30"/>
      <c r="H32" s="30"/>
    </row>
    <row r="33" spans="2:8">
      <c r="B33" s="21"/>
      <c r="C33" s="31"/>
      <c r="D33" s="32"/>
      <c r="E33" s="33" t="str">
        <f ca="1">IFERROR(__xludf.DUMMYFUNCTION("""COMPUTED_VALUE"""),"13.15-17.00")</f>
        <v>13.15-17.00</v>
      </c>
      <c r="F33" s="34" t="str">
        <f ca="1">IFERROR(__xludf.DUMMYFUNCTION("""COMPUTED_VALUE"""),"Agroecology - Systems thinking and tools ")</f>
        <v xml:space="preserve">Agroecology - Systems thinking and tools </v>
      </c>
      <c r="G33" s="2"/>
      <c r="H33" s="27" t="str">
        <f ca="1">IFERROR(__xludf.DUMMYFUNCTION("""COMPUTED_VALUE"""),"Articum 2")</f>
        <v>Articum 2</v>
      </c>
    </row>
    <row r="34" spans="2:8" ht="12.75">
      <c r="B34" s="21"/>
      <c r="C34" s="35"/>
      <c r="D34" s="36"/>
      <c r="E34" s="37"/>
      <c r="F34" s="38" t="str">
        <f ca="1">IFERROR(__xludf.DUMMYFUNCTION("""COMPUTED_VALUE"""),"prepare poster for presentations tomorrow, 1 slide + 1 min movie about yourself, upload to t.ly/FTRw4")</f>
        <v>prepare poster for presentations tomorrow, 1 slide + 1 min movie about yourself, upload to t.ly/FTRw4</v>
      </c>
      <c r="G34" s="39"/>
      <c r="H34" s="40"/>
    </row>
    <row r="35" spans="2:8" ht="12.75">
      <c r="B35" s="41"/>
      <c r="C35" s="42"/>
      <c r="D35" s="30"/>
      <c r="E35" s="43" t="str">
        <f ca="1">IFERROR(__xludf.DUMMYFUNCTION("""COMPUTED_VALUE"""),"9.15-12.00")</f>
        <v>9.15-12.00</v>
      </c>
      <c r="F35" s="44" t="str">
        <f ca="1">IFERROR(__xludf.DUMMYFUNCTION("""COMPUTED_VALUE"""),"student presentations: 1 'slide' (picture of poster), 3 min pp 2 min q&amp;a. A working definition of Agroecology (see Friday)")</f>
        <v>student presentations: 1 'slide' (picture of poster), 3 min pp 2 min q&amp;a. A working definition of Agroecology (see Friday)</v>
      </c>
      <c r="G35" s="45" t="str">
        <f ca="1">IFERROR(__xludf.DUMMYFUNCTION("""COMPUTED_VALUE"""),"TD")</f>
        <v>TD</v>
      </c>
      <c r="H35" s="27" t="str">
        <f ca="1">IFERROR(__xludf.DUMMYFUNCTION("""COMPUTED_VALUE"""),"Articum 2")</f>
        <v>Articum 2</v>
      </c>
    </row>
    <row r="36" spans="2:8" ht="12.75">
      <c r="B36" s="41"/>
      <c r="C36" s="10">
        <f ca="1">IFERROR(__xludf.DUMMYFUNCTION("""COMPUTED_VALUE"""),45539)</f>
        <v>45539</v>
      </c>
      <c r="D36" s="28" t="str">
        <f ca="1">IFERROR(__xludf.DUMMYFUNCTION("""COMPUTED_VALUE"""),"Wednesday")</f>
        <v>Wednesday</v>
      </c>
      <c r="E36" s="24" t="str">
        <f ca="1">IFERROR(__xludf.DUMMYFUNCTION("""COMPUTED_VALUE"""),"12:00-13:30")</f>
        <v>12:00-13:30</v>
      </c>
      <c r="F36" s="3" t="str">
        <f ca="1">IFERROR(__xludf.DUMMYFUNCTION("""COMPUTED_VALUE"""),"Apple picking and own lunch in the orchard")</f>
        <v>Apple picking and own lunch in the orchard</v>
      </c>
      <c r="G36" s="30"/>
      <c r="H36" s="30"/>
    </row>
    <row r="37" spans="2:8" ht="12.75">
      <c r="B37" s="41"/>
      <c r="C37" s="46"/>
      <c r="D37" s="47"/>
      <c r="E37" s="48" t="str">
        <f ca="1">IFERROR(__xludf.DUMMYFUNCTION("""COMPUTED_VALUE"""),"pm")</f>
        <v>pm</v>
      </c>
      <c r="F37" s="49" t="str">
        <f ca="1">IFERROR(__xludf.DUMMYFUNCTION("""COMPUTED_VALUE"""),"Individual work: reading literature and preparing Assignment 1")</f>
        <v>Individual work: reading literature and preparing Assignment 1</v>
      </c>
      <c r="G37" s="50" t="str">
        <f ca="1">IFERROR(__xludf.DUMMYFUNCTION("""COMPUTED_VALUE"""),"-")</f>
        <v>-</v>
      </c>
      <c r="H37" s="20"/>
    </row>
    <row r="38" spans="2:8" ht="12.75">
      <c r="B38" s="41"/>
      <c r="C38" s="51"/>
      <c r="D38" s="30"/>
      <c r="E38" s="12" t="str">
        <f ca="1">IFERROR(__xludf.DUMMYFUNCTION("""COMPUTED_VALUE"""),"09.15-12.00")</f>
        <v>09.15-12.00</v>
      </c>
      <c r="F38" s="52" t="str">
        <f ca="1">IFERROR(__xludf.DUMMYFUNCTION("""COMPUTED_VALUE"""),"How to write a scientific report, see also libary support below and see lecture. Group formation (AFN and Alnarpsfarm tasks)")</f>
        <v>How to write a scientific report, see also libary support below and see lecture. Group formation (AFN and Alnarpsfarm tasks)</v>
      </c>
      <c r="G38" s="53" t="str">
        <f ca="1">IFERROR(__xludf.DUMMYFUNCTION("""COMPUTED_VALUE"""),"TD")</f>
        <v>TD</v>
      </c>
      <c r="H38" s="27" t="str">
        <f ca="1">IFERROR(__xludf.DUMMYFUNCTION("""COMPUTED_VALUE"""),"Articum 2")</f>
        <v>Articum 2</v>
      </c>
    </row>
    <row r="39" spans="2:8" ht="12.75">
      <c r="B39" s="41"/>
      <c r="C39" s="10">
        <f ca="1">IFERROR(__xludf.DUMMYFUNCTION("""COMPUTED_VALUE"""),45540)</f>
        <v>45540</v>
      </c>
      <c r="D39" s="28" t="str">
        <f ca="1">IFERROR(__xludf.DUMMYFUNCTION("""COMPUTED_VALUE"""),"Thursday")</f>
        <v>Thursday</v>
      </c>
      <c r="E39" s="54"/>
      <c r="F39" s="29"/>
      <c r="G39" s="55"/>
      <c r="H39" s="30"/>
    </row>
    <row r="40" spans="2:8" ht="12.75">
      <c r="B40" s="56"/>
      <c r="C40" s="51"/>
      <c r="D40" s="57"/>
      <c r="E40" s="34" t="str">
        <f ca="1">IFERROR(__xludf.DUMMYFUNCTION("""COMPUTED_VALUE"""),"13.15-16.00")</f>
        <v>13.15-16.00</v>
      </c>
      <c r="F40" s="24" t="str">
        <f ca="1">IFERROR(__xludf.DUMMYFUNCTION("""COMPUTED_VALUE"""),"Library, introduction in literature seminars, further writing instructions")</f>
        <v>Library, introduction in literature seminars, further writing instructions</v>
      </c>
      <c r="G40" s="58"/>
      <c r="H40" s="27" t="str">
        <f ca="1">IFERROR(__xludf.DUMMYFUNCTION("""COMPUTED_VALUE"""),"Articum 2")</f>
        <v>Articum 2</v>
      </c>
    </row>
    <row r="41" spans="2:8" ht="12.75">
      <c r="B41" s="41"/>
      <c r="C41" s="46"/>
      <c r="D41" s="59"/>
      <c r="E41" s="48" t="str">
        <f ca="1">IFERROR(__xludf.DUMMYFUNCTION("""COMPUTED_VALUE""")," - ")</f>
        <v xml:space="preserve"> - </v>
      </c>
      <c r="F41" s="60" t="str">
        <f ca="1">IFERROR(__xludf.DUMMYFUNCTION("""COMPUTED_VALUE"""),"individual work: reading literature and preparing Assignment 1")</f>
        <v>individual work: reading literature and preparing Assignment 1</v>
      </c>
      <c r="G41" s="20"/>
      <c r="H41" s="40"/>
    </row>
    <row r="42" spans="2:8" ht="12.75">
      <c r="B42" s="41"/>
      <c r="C42" s="51"/>
      <c r="D42" s="61"/>
      <c r="E42" s="24" t="str">
        <f ca="1">IFERROR(__xludf.DUMMYFUNCTION("""COMPUTED_VALUE"""),"09:15-11:00")</f>
        <v>09:15-11:00</v>
      </c>
      <c r="F42" s="62" t="str">
        <f ca="1">IFERROR(__xludf.DUMMYFUNCTION("""COMPUTED_VALUE"""),"A working definition of agroecology of AEBasics'24 - assignment 1 instructions")</f>
        <v>A working definition of agroecology of AEBasics'24 - assignment 1 instructions</v>
      </c>
      <c r="G42" s="63" t="str">
        <f ca="1">IFERROR(__xludf.DUMMYFUNCTION("""COMPUTED_VALUE"""),"TD")</f>
        <v>TD</v>
      </c>
      <c r="H42" s="27" t="str">
        <f ca="1">IFERROR(__xludf.DUMMYFUNCTION("""COMPUTED_VALUE"""),"Articum 2")</f>
        <v>Articum 2</v>
      </c>
    </row>
    <row r="43" spans="2:8" ht="12.75">
      <c r="B43" s="41"/>
      <c r="C43" s="10">
        <f ca="1">IFERROR(__xludf.DUMMYFUNCTION("""COMPUTED_VALUE"""),45541)</f>
        <v>45541</v>
      </c>
      <c r="D43" s="64" t="str">
        <f ca="1">IFERROR(__xludf.DUMMYFUNCTION("""COMPUTED_VALUE"""),"Friday")</f>
        <v>Friday</v>
      </c>
      <c r="E43" s="24" t="str">
        <f ca="1">IFERROR(__xludf.DUMMYFUNCTION("""COMPUTED_VALUE"""),"11.15-12.00")</f>
        <v>11.15-12.00</v>
      </c>
      <c r="F43" s="65" t="str">
        <f ca="1">IFERROR(__xludf.DUMMYFUNCTION("""COMPUTED_VALUE"""),"Instructions on literature seminars, read and prepare AFN literature in groups")</f>
        <v>Instructions on literature seminars, read and prepare AFN literature in groups</v>
      </c>
      <c r="G43" s="55"/>
      <c r="H43" s="30"/>
    </row>
    <row r="44" spans="2:8" ht="12.75">
      <c r="B44" s="66"/>
      <c r="C44" s="46"/>
      <c r="D44" s="59"/>
      <c r="E44" s="67" t="str">
        <f ca="1">IFERROR(__xludf.DUMMYFUNCTION("""COMPUTED_VALUE"""),"12:15-17.00")</f>
        <v>12:15-17.00</v>
      </c>
      <c r="F44" s="68" t="str">
        <f ca="1">IFERROR(__xludf.DUMMYFUNCTION("""COMPUTED_VALUE"""),"lunch at AAF , AAF introduction, groups &amp; tasks")</f>
        <v>lunch at AAF , AAF introduction, groups &amp; tasks</v>
      </c>
      <c r="G44" s="69" t="str">
        <f ca="1">IFERROR(__xludf.DUMMYFUNCTION("""COMPUTED_VALUE"""),"TD")</f>
        <v>TD</v>
      </c>
      <c r="H44" s="70" t="str">
        <f ca="1">IFERROR(__xludf.DUMMYFUNCTION("""COMPUTED_VALUE"""),"AAF")</f>
        <v>AAF</v>
      </c>
    </row>
    <row r="45" spans="2:8" ht="12.75">
      <c r="B45" s="2"/>
      <c r="C45" s="2"/>
      <c r="D45" s="2"/>
      <c r="E45" s="2"/>
      <c r="F45" s="2"/>
      <c r="G45" s="2"/>
      <c r="H45" s="71"/>
    </row>
    <row r="46" spans="2:8" ht="12.75">
      <c r="B46" s="2"/>
      <c r="C46" s="2"/>
      <c r="D46" s="2"/>
      <c r="E46" s="2"/>
      <c r="F46" s="72" t="str">
        <f ca="1">IFERROR(__xludf.DUMMYFUNCTION("""COMPUTED_VALUE"""),"Literature reading (Swiergiel et al. 2017, 2019; Lowder et al. 2016) to prepare for thu-fri. particularly narrative of 2017 paper. Read Östling chapters 1-5")</f>
        <v>Literature reading (Swiergiel et al. 2017, 2019; Lowder et al. 2016) to prepare for thu-fri. particularly narrative of 2017 paper. Read Östling chapters 1-5</v>
      </c>
      <c r="G46" s="2"/>
      <c r="H46" s="71"/>
    </row>
    <row r="47" spans="2:8" ht="12.75">
      <c r="B47" s="7" t="str">
        <f ca="1">IFERROR(__xludf.DUMMYFUNCTION("""COMPUTED_VALUE"""),"Week")</f>
        <v>Week</v>
      </c>
      <c r="C47" s="73" t="str">
        <f ca="1">IFERROR(__xludf.DUMMYFUNCTION("""COMPUTED_VALUE"""),"Date")</f>
        <v>Date</v>
      </c>
      <c r="D47" s="7" t="str">
        <f ca="1">IFERROR(__xludf.DUMMYFUNCTION("""COMPUTED_VALUE"""),"Day")</f>
        <v>Day</v>
      </c>
      <c r="E47" s="7" t="str">
        <f ca="1">IFERROR(__xludf.DUMMYFUNCTION("""COMPUTED_VALUE"""),"Time")</f>
        <v>Time</v>
      </c>
      <c r="F47" s="8"/>
      <c r="G47" s="7" t="str">
        <f ca="1">IFERROR(__xludf.DUMMYFUNCTION("""COMPUTED_VALUE"""),"Teacher")</f>
        <v>Teacher</v>
      </c>
      <c r="H47" s="7" t="str">
        <f ca="1">IFERROR(__xludf.DUMMYFUNCTION("""COMPUTED_VALUE"""),"Place ")</f>
        <v xml:space="preserve">Place </v>
      </c>
    </row>
    <row r="48" spans="2:8" ht="12.75">
      <c r="B48" s="74"/>
      <c r="C48" s="75"/>
      <c r="D48" s="61"/>
      <c r="E48" s="12" t="str">
        <f ca="1">IFERROR(__xludf.DUMMYFUNCTION("""COMPUTED_VALUE"""),"10.15-12.00")</f>
        <v>10.15-12.00</v>
      </c>
      <c r="F48" s="76" t="str">
        <f ca="1">IFERROR(__xludf.DUMMYFUNCTION("""COMPUTED_VALUE"""),"Alternative Food Networks")</f>
        <v>Alternative Food Networks</v>
      </c>
      <c r="G48" s="13" t="str">
        <f ca="1">IFERROR(__xludf.DUMMYFUNCTION("""COMPUTED_VALUE"""),"JB")</f>
        <v>JB</v>
      </c>
      <c r="H48" s="27" t="str">
        <f ca="1">IFERROR(__xludf.DUMMYFUNCTION("""COMPUTED_VALUE"""),"Articum 2")</f>
        <v>Articum 2</v>
      </c>
    </row>
    <row r="49" spans="2:8" ht="12.75">
      <c r="B49" s="77">
        <f ca="1">IFERROR(__xludf.DUMMYFUNCTION("""COMPUTED_VALUE"""),36)</f>
        <v>36</v>
      </c>
      <c r="C49" s="10">
        <f ca="1">IFERROR(__xludf.DUMMYFUNCTION("""COMPUTED_VALUE"""),45544)</f>
        <v>45544</v>
      </c>
      <c r="D49" s="78" t="str">
        <f ca="1">IFERROR(__xludf.DUMMYFUNCTION("""COMPUTED_VALUE"""),"Monday")</f>
        <v>Monday</v>
      </c>
      <c r="E49" s="30"/>
      <c r="F49" s="79" t="str">
        <f ca="1">IFERROR(__xludf.DUMMYFUNCTION("""COMPUTED_VALUE""")," ISEP, guest lecture: Emerging contaminants in the environment and in food - micropollutants and microplastics")</f>
        <v xml:space="preserve"> ISEP, guest lecture: Emerging contaminants in the environment and in food - micropollutants and microplastics</v>
      </c>
      <c r="G49" s="29"/>
      <c r="H49" s="55"/>
    </row>
    <row r="50" spans="2:8" ht="12.75">
      <c r="B50" s="41"/>
      <c r="C50" s="80"/>
      <c r="D50" s="81"/>
      <c r="E50" s="82" t="str">
        <f ca="1">IFERROR(__xludf.DUMMYFUNCTION("""COMPUTED_VALUE"""),"13.15-16:00")</f>
        <v>13.15-16:00</v>
      </c>
      <c r="F50" s="34" t="str">
        <f ca="1">IFERROR(__xludf.DUMMYFUNCTION("""COMPUTED_VALUE"""),"AFN literature seminar")</f>
        <v>AFN literature seminar</v>
      </c>
      <c r="G50" s="29"/>
      <c r="H50" s="83"/>
    </row>
    <row r="51" spans="2:8" ht="12.75">
      <c r="B51" s="41"/>
      <c r="C51" s="46"/>
      <c r="D51" s="47"/>
      <c r="E51" s="47"/>
      <c r="F51" s="84" t="str">
        <f ca="1">IFERROR(__xludf.DUMMYFUNCTION("""COMPUTED_VALUE"""),"read: Rosset&amp;Torres: Rural Social Movements and Agroecology;+")</f>
        <v>read: Rosset&amp;Torres: Rural Social Movements and Agroecology;+</v>
      </c>
      <c r="G51" s="85" t="str">
        <f ca="1">IFERROR(__xludf.DUMMYFUNCTION("""COMPUTED_VALUE"""),"TD")</f>
        <v>TD</v>
      </c>
      <c r="H51" s="86" t="str">
        <f ca="1">IFERROR(__xludf.DUMMYFUNCTION("""COMPUTED_VALUE"""),"Articum 2")</f>
        <v>Articum 2</v>
      </c>
    </row>
    <row r="52" spans="2:8" ht="12.75">
      <c r="B52" s="15"/>
      <c r="C52" s="10">
        <f ca="1">IFERROR(__xludf.DUMMYFUNCTION("""COMPUTED_VALUE"""),45545)</f>
        <v>45545</v>
      </c>
      <c r="D52" s="28" t="str">
        <f ca="1">IFERROR(__xludf.DUMMYFUNCTION("""COMPUTED_VALUE"""),"Tuesday ")</f>
        <v xml:space="preserve">Tuesday </v>
      </c>
      <c r="E52" s="33" t="str">
        <f ca="1">IFERROR(__xludf.DUMMYFUNCTION("""COMPUTED_VALUE"""),"9.15-12:00")</f>
        <v>9.15-12:00</v>
      </c>
      <c r="F52" s="87" t="str">
        <f ca="1">IFERROR(__xludf.DUMMYFUNCTION("""COMPUTED_VALUE"""),"A cultural-historical perspective on Swedish agriculture and agricultural policy")</f>
        <v>A cultural-historical perspective on Swedish agriculture and agricultural policy</v>
      </c>
      <c r="G52" s="53" t="str">
        <f ca="1">IFERROR(__xludf.DUMMYFUNCTION("""COMPUTED_VALUE"""),"WS")</f>
        <v>WS</v>
      </c>
      <c r="H52" s="11" t="str">
        <f ca="1">IFERROR(__xludf.DUMMYFUNCTION("""COMPUTED_VALUE"""),"Articum 2")</f>
        <v>Articum 2</v>
      </c>
    </row>
    <row r="53" spans="2:8" ht="12.75">
      <c r="B53" s="41"/>
      <c r="C53" s="88"/>
      <c r="D53" s="89"/>
      <c r="E53" s="90" t="str">
        <f ca="1">IFERROR(__xludf.DUMMYFUNCTION("""COMPUTED_VALUE"""),"13.15-15.00")</f>
        <v>13.15-15.00</v>
      </c>
      <c r="F53" s="91" t="str">
        <f ca="1">IFERROR(__xludf.DUMMYFUNCTION("""COMPUTED_VALUE"""),"FAO: agroecology at the UN scene - concepts, policies, and tools")</f>
        <v>FAO: agroecology at the UN scene - concepts, policies, and tools</v>
      </c>
      <c r="G53" s="92" t="str">
        <f ca="1">IFERROR(__xludf.DUMMYFUNCTION("""COMPUTED_VALUE"""),"TD/FAO")</f>
        <v>TD/FAO</v>
      </c>
      <c r="H53" s="30"/>
    </row>
    <row r="54" spans="2:8" ht="12.75">
      <c r="B54" s="41"/>
      <c r="C54" s="46"/>
      <c r="D54" s="47"/>
      <c r="E54" s="48" t="str">
        <f ca="1">IFERROR(__xludf.DUMMYFUNCTION("""COMPUTED_VALUE"""),"self study")</f>
        <v>self study</v>
      </c>
      <c r="F54" s="93" t="str">
        <f ca="1">IFERROR(__xludf.DUMMYFUNCTION("""COMPUTED_VALUE"""),"Östling ""Global Solidarity, Global Game"" + Östling Chapter 1-5")</f>
        <v>Östling "Global Solidarity, Global Game" + Östling Chapter 1-5</v>
      </c>
      <c r="G54" s="94"/>
      <c r="H54" s="86" t="str">
        <f ca="1">IFERROR(__xludf.DUMMYFUNCTION("""COMPUTED_VALUE"""),"Articum 2")</f>
        <v>Articum 2</v>
      </c>
    </row>
    <row r="55" spans="2:8" ht="12.75">
      <c r="B55" s="41"/>
      <c r="C55" s="88"/>
      <c r="D55" s="95"/>
      <c r="E55" s="96" t="str">
        <f ca="1">IFERROR(__xludf.DUMMYFUNCTION("""COMPUTED_VALUE"""),"8:15-12:00")</f>
        <v>8:15-12:00</v>
      </c>
      <c r="F55" s="97" t="str">
        <f ca="1">IFERROR(__xludf.DUMMYFUNCTION("""COMPUTED_VALUE"""),"La Via campesina Sweden")</f>
        <v>La Via campesina Sweden</v>
      </c>
      <c r="G55" s="98" t="str">
        <f ca="1">IFERROR(__xludf.DUMMYFUNCTION("""COMPUTED_VALUE"""),"MI, TS")</f>
        <v>MI, TS</v>
      </c>
      <c r="H55" s="11" t="str">
        <f ca="1">IFERROR(__xludf.DUMMYFUNCTION("""COMPUTED_VALUE"""),"Articum 2")</f>
        <v>Articum 2</v>
      </c>
    </row>
    <row r="56" spans="2:8" ht="12.75">
      <c r="B56" s="15"/>
      <c r="C56" s="10">
        <f ca="1">IFERROR(__xludf.DUMMYFUNCTION("""COMPUTED_VALUE"""),45546)</f>
        <v>45546</v>
      </c>
      <c r="D56" s="99" t="str">
        <f ca="1">IFERROR(__xludf.DUMMYFUNCTION("""COMPUTED_VALUE"""),"Wednesday")</f>
        <v>Wednesday</v>
      </c>
      <c r="E56" s="95"/>
      <c r="F56" s="100"/>
      <c r="G56" s="29"/>
      <c r="H56" s="57"/>
    </row>
    <row r="57" spans="2:8" ht="12.75">
      <c r="B57" s="41"/>
      <c r="C57" s="101"/>
      <c r="D57" s="47"/>
      <c r="E57" s="40"/>
      <c r="F57" s="102" t="str">
        <f ca="1">IFERROR(__xludf.DUMMYFUNCTION("""COMPUTED_VALUE"""),"extra lecture on writing")</f>
        <v>extra lecture on writing</v>
      </c>
      <c r="G57" s="85" t="str">
        <f ca="1">IFERROR(__xludf.DUMMYFUNCTION("""COMPUTED_VALUE"""),"TD")</f>
        <v>TD</v>
      </c>
      <c r="H57" s="103" t="str">
        <f ca="1">IFERROR(__xludf.DUMMYFUNCTION("""COMPUTED_VALUE"""),"ROOM TBD")</f>
        <v>ROOM TBD</v>
      </c>
    </row>
    <row r="58" spans="2:8" ht="12.75">
      <c r="B58" s="41"/>
      <c r="C58" s="75"/>
      <c r="D58" s="61"/>
      <c r="E58" s="12" t="str">
        <f ca="1">IFERROR(__xludf.DUMMYFUNCTION("""COMPUTED_VALUE"""),"09:00-12:00")</f>
        <v>09:00-12:00</v>
      </c>
      <c r="F58" s="104" t="str">
        <f ca="1">IFERROR(__xludf.DUMMYFUNCTION("""COMPUTED_VALUE"""),"Visit of alnarps egendommen, evaluation of visit, gps: 55.654526922785095, 13.06003699129486")</f>
        <v>Visit of alnarps egendommen, evaluation of visit, gps: 55.654526922785095, 13.06003699129486</v>
      </c>
      <c r="G58" s="13" t="str">
        <f ca="1">IFERROR(__xludf.DUMMYFUNCTION("""COMPUTED_VALUE"""),"LB")</f>
        <v>LB</v>
      </c>
      <c r="H58" s="105"/>
    </row>
    <row r="59" spans="2:8" ht="12.75">
      <c r="B59" s="15"/>
      <c r="C59" s="10">
        <f ca="1">IFERROR(__xludf.DUMMYFUNCTION("""COMPUTED_VALUE"""),45547)</f>
        <v>45547</v>
      </c>
      <c r="D59" s="99" t="str">
        <f ca="1">IFERROR(__xludf.DUMMYFUNCTION("""COMPUTED_VALUE"""),"Thursday")</f>
        <v>Thursday</v>
      </c>
      <c r="E59" s="95"/>
      <c r="F59" s="3" t="str">
        <f ca="1">IFERROR(__xludf.DUMMYFUNCTION("""COMPUTED_VALUE"""),"evaluation at AFF ")</f>
        <v xml:space="preserve">evaluation at AFF </v>
      </c>
      <c r="G59" s="106" t="str">
        <f ca="1">IFERROR(__xludf.DUMMYFUNCTION("""COMPUTED_VALUE"""),"CvdK TD")</f>
        <v>CvdK TD</v>
      </c>
      <c r="H59" s="95"/>
    </row>
    <row r="60" spans="2:8" ht="12.75">
      <c r="B60" s="41"/>
      <c r="C60" s="51"/>
      <c r="D60" s="30"/>
      <c r="E60" s="3" t="str">
        <f ca="1">IFERROR(__xludf.DUMMYFUNCTION("""COMPUTED_VALUE"""),"13.15-17.00")</f>
        <v>13.15-17.00</v>
      </c>
      <c r="F60" s="107" t="str">
        <f ca="1">IFERROR(__xludf.DUMMYFUNCTION("""COMPUTED_VALUE"""),"Political ecology and agroecology BOOK ROOM")</f>
        <v>Political ecology and agroecology BOOK ROOM</v>
      </c>
      <c r="G60" s="106" t="str">
        <f ca="1">IFERROR(__xludf.DUMMYFUNCTION("""COMPUTED_VALUE"""),"SK")</f>
        <v>SK</v>
      </c>
      <c r="H60" s="27" t="str">
        <f ca="1">IFERROR(__xludf.DUMMYFUNCTION("""COMPUTED_VALUE"""),"Articum 2")</f>
        <v>Articum 2</v>
      </c>
    </row>
    <row r="61" spans="2:8" ht="12.75">
      <c r="B61" s="41"/>
      <c r="C61" s="46"/>
      <c r="D61" s="47"/>
      <c r="E61" s="108"/>
      <c r="F61" s="94"/>
      <c r="G61" s="40"/>
      <c r="H61" s="40"/>
    </row>
    <row r="62" spans="2:8" ht="12.75">
      <c r="B62" s="41"/>
      <c r="C62" s="75"/>
      <c r="D62" s="61"/>
      <c r="E62" s="33" t="str">
        <f ca="1">IFERROR(__xludf.DUMMYFUNCTION("""COMPUTED_VALUE"""),"9.15-12:00")</f>
        <v>9.15-12:00</v>
      </c>
      <c r="F62" s="24" t="str">
        <f ca="1">IFERROR(__xludf.DUMMYFUNCTION("""COMPUTED_VALUE"""),"Agrobiodiversity Facilitation ")</f>
        <v xml:space="preserve">Agrobiodiversity Facilitation </v>
      </c>
      <c r="G62" s="53" t="str">
        <f ca="1">IFERROR(__xludf.DUMMYFUNCTION("""COMPUTED_VALUE"""),"DW")</f>
        <v>DW</v>
      </c>
      <c r="H62" s="27" t="str">
        <f ca="1">IFERROR(__xludf.DUMMYFUNCTION("""COMPUTED_VALUE"""),"Articum 2")</f>
        <v>Articum 2</v>
      </c>
    </row>
    <row r="63" spans="2:8" ht="12.75">
      <c r="B63" s="15"/>
      <c r="C63" s="10">
        <f ca="1">IFERROR(__xludf.DUMMYFUNCTION("""COMPUTED_VALUE"""),45548)</f>
        <v>45548</v>
      </c>
      <c r="D63" s="109" t="str">
        <f ca="1">IFERROR(__xludf.DUMMYFUNCTION("""COMPUTED_VALUE"""),"Friday")</f>
        <v>Friday</v>
      </c>
      <c r="E63" s="2"/>
      <c r="F63" s="29"/>
      <c r="G63" s="71"/>
      <c r="H63" s="110"/>
    </row>
    <row r="64" spans="2:8" ht="12.75">
      <c r="B64" s="111"/>
      <c r="C64" s="112"/>
      <c r="D64" s="113"/>
      <c r="E64" s="114" t="str">
        <f ca="1">IFERROR(__xludf.DUMMYFUNCTION("""COMPUTED_VALUE"""),"13.00-17.00")</f>
        <v>13.00-17.00</v>
      </c>
      <c r="F64" s="115" t="str">
        <f ca="1">IFERROR(__xludf.DUMMYFUNCTION("""COMPUTED_VALUE"""),"ALNARPSFARMEN")</f>
        <v>ALNARPSFARMEN</v>
      </c>
      <c r="G64" s="116"/>
      <c r="H64" s="86" t="str">
        <f ca="1">IFERROR(__xludf.DUMMYFUNCTION("""COMPUTED_VALUE"""),"Articum 2")</f>
        <v>Articum 2</v>
      </c>
    </row>
    <row r="65" spans="2:8" ht="12.75">
      <c r="B65" s="2"/>
      <c r="C65" s="2"/>
      <c r="D65" s="2"/>
      <c r="E65" s="2"/>
      <c r="F65" s="2"/>
      <c r="G65" s="117"/>
      <c r="H65" s="118"/>
    </row>
    <row r="66" spans="2:8" ht="12.75">
      <c r="B66" s="2"/>
      <c r="C66" s="2"/>
      <c r="D66" s="3" t="str">
        <f ca="1">IFERROR(__xludf.DUMMYFUNCTION("""COMPUTED_VALUE"""),"Sunday")</f>
        <v>Sunday</v>
      </c>
      <c r="E66" s="119">
        <f ca="1">IFERROR(__xludf.DUMMYFUNCTION("""COMPUTED_VALUE"""),0.999305555555555)</f>
        <v>0.999305555555555</v>
      </c>
      <c r="F66" s="120" t="str">
        <f ca="1">IFERROR(__xludf.DUMMYFUNCTION("""COMPUTED_VALUE"""),"Hand in the 1 page text by loading it on your Canvas page before 24:00 (Assignment 1a)")</f>
        <v>Hand in the 1 page text by loading it on your Canvas page before 24:00 (Assignment 1a)</v>
      </c>
      <c r="G66" s="2"/>
      <c r="H66" s="71"/>
    </row>
    <row r="67" spans="2:8" ht="12.75">
      <c r="B67" s="2"/>
      <c r="C67" s="2"/>
      <c r="D67" s="2"/>
      <c r="E67" s="2"/>
      <c r="F67" s="84" t="str">
        <f ca="1">IFERROR(__xludf.DUMMYFUNCTION("""COMPUTED_VALUE"""),"Read Gliessman Chapter 22 &amp; 23 as preparation for assignment 2 and 3")</f>
        <v>Read Gliessman Chapter 22 &amp; 23 as preparation for assignment 2 and 3</v>
      </c>
      <c r="G67" s="2"/>
      <c r="H67" s="71"/>
    </row>
    <row r="68" spans="2:8" ht="12.75">
      <c r="B68" s="7" t="str">
        <f ca="1">IFERROR(__xludf.DUMMYFUNCTION("""COMPUTED_VALUE"""),"Week")</f>
        <v>Week</v>
      </c>
      <c r="C68" s="7" t="str">
        <f ca="1">IFERROR(__xludf.DUMMYFUNCTION("""COMPUTED_VALUE"""),"Date")</f>
        <v>Date</v>
      </c>
      <c r="D68" s="7" t="str">
        <f ca="1">IFERROR(__xludf.DUMMYFUNCTION("""COMPUTED_VALUE"""),"Day")</f>
        <v>Day</v>
      </c>
      <c r="E68" s="7" t="str">
        <f ca="1">IFERROR(__xludf.DUMMYFUNCTION("""COMPUTED_VALUE"""),"Time")</f>
        <v>Time</v>
      </c>
      <c r="F68" s="8"/>
      <c r="G68" s="7" t="str">
        <f ca="1">IFERROR(__xludf.DUMMYFUNCTION("""COMPUTED_VALUE"""),"Teacher")</f>
        <v>Teacher</v>
      </c>
      <c r="H68" s="121" t="str">
        <f ca="1">IFERROR(__xludf.DUMMYFUNCTION("""COMPUTED_VALUE"""),"Place ")</f>
        <v xml:space="preserve">Place </v>
      </c>
    </row>
    <row r="69" spans="2:8" ht="12.75">
      <c r="B69" s="122"/>
      <c r="C69" s="75"/>
      <c r="D69" s="61"/>
      <c r="E69" s="87" t="str">
        <f ca="1">IFERROR(__xludf.DUMMYFUNCTION("""COMPUTED_VALUE"""),"09.15-12.00")</f>
        <v>09.15-12.00</v>
      </c>
      <c r="F69" s="123" t="str">
        <f ca="1">IFERROR(__xludf.DUMMYFUNCTION("""COMPUTED_VALUE"""),"Introduction to participatory approaches to RD&amp;E")</f>
        <v>Introduction to participatory approaches to RD&amp;E</v>
      </c>
      <c r="G69" s="124" t="str">
        <f ca="1">IFERROR(__xludf.DUMMYFUNCTION("""COMPUTED_VALUE"""),"AH")</f>
        <v>AH</v>
      </c>
      <c r="H69" s="27" t="str">
        <f ca="1">IFERROR(__xludf.DUMMYFUNCTION("""COMPUTED_VALUE"""),"Articum 2")</f>
        <v>Articum 2</v>
      </c>
    </row>
    <row r="70" spans="2:8" ht="12.75">
      <c r="B70" s="125">
        <f ca="1">IFERROR(__xludf.DUMMYFUNCTION("""COMPUTED_VALUE"""),37)</f>
        <v>37</v>
      </c>
      <c r="C70" s="10">
        <f ca="1">IFERROR(__xludf.DUMMYFUNCTION("""COMPUTED_VALUE"""),45551)</f>
        <v>45551</v>
      </c>
      <c r="D70" s="28" t="str">
        <f ca="1">IFERROR(__xludf.DUMMYFUNCTION("""COMPUTED_VALUE"""),"Monday")</f>
        <v>Monday</v>
      </c>
      <c r="E70" s="126"/>
      <c r="F70" s="71"/>
      <c r="G70" s="71"/>
      <c r="H70" s="30"/>
    </row>
    <row r="71" spans="2:8" ht="12.75">
      <c r="B71" s="15"/>
      <c r="C71" s="51"/>
      <c r="D71" s="127"/>
      <c r="E71" s="128" t="str">
        <f ca="1">IFERROR(__xludf.DUMMYFUNCTION("""COMPUTED_VALUE"""),"13.15-17.00")</f>
        <v>13.15-17.00</v>
      </c>
      <c r="F71" s="129" t="str">
        <f ca="1">IFERROR(__xludf.DUMMYFUNCTION("""COMPUTED_VALUE"""),"Common Tools used in Participatory RD&amp;E")</f>
        <v>Common Tools used in Participatory RD&amp;E</v>
      </c>
      <c r="G71" s="130" t="str">
        <f ca="1">IFERROR(__xludf.DUMMYFUNCTION("""COMPUTED_VALUE"""),"AH")</f>
        <v>AH</v>
      </c>
      <c r="H71" s="86" t="str">
        <f ca="1">IFERROR(__xludf.DUMMYFUNCTION("""COMPUTED_VALUE"""),"Articum 2")</f>
        <v>Articum 2</v>
      </c>
    </row>
    <row r="72" spans="2:8" ht="12.75">
      <c r="B72" s="15"/>
      <c r="C72" s="75"/>
      <c r="D72" s="61"/>
      <c r="E72" s="87" t="str">
        <f ca="1">IFERROR(__xludf.DUMMYFUNCTION("""COMPUTED_VALUE"""),"09.15-12.00")</f>
        <v>09.15-12.00</v>
      </c>
      <c r="F72" s="123" t="str">
        <f ca="1">IFERROR(__xludf.DUMMYFUNCTION("""COMPUTED_VALUE"""),"Exercises Participatory RD&amp;E")</f>
        <v>Exercises Participatory RD&amp;E</v>
      </c>
      <c r="G72" s="124" t="str">
        <f ca="1">IFERROR(__xludf.DUMMYFUNCTION("""COMPUTED_VALUE"""),"AH")</f>
        <v>AH</v>
      </c>
      <c r="H72" s="11" t="str">
        <f ca="1">IFERROR(__xludf.DUMMYFUNCTION("""COMPUTED_VALUE"""),"Articum 2")</f>
        <v>Articum 2</v>
      </c>
    </row>
    <row r="73" spans="2:8" ht="12.75">
      <c r="B73" s="15"/>
      <c r="C73" s="10">
        <f ca="1">IFERROR(__xludf.DUMMYFUNCTION("""COMPUTED_VALUE"""),45552)</f>
        <v>45552</v>
      </c>
      <c r="D73" s="28" t="str">
        <f ca="1">IFERROR(__xludf.DUMMYFUNCTION("""COMPUTED_VALUE"""),"Tuesday ")</f>
        <v xml:space="preserve">Tuesday </v>
      </c>
      <c r="E73" s="126"/>
      <c r="F73" s="83"/>
      <c r="G73" s="71"/>
      <c r="H73" s="131"/>
    </row>
    <row r="74" spans="2:8" ht="12.75">
      <c r="B74" s="15"/>
      <c r="C74" s="51"/>
      <c r="D74" s="59"/>
      <c r="E74" s="34" t="str">
        <f ca="1">IFERROR(__xludf.DUMMYFUNCTION("""COMPUTED_VALUE"""),"13.15-17.00")</f>
        <v>13.15-17.00</v>
      </c>
      <c r="F74" s="65" t="str">
        <f ca="1">IFERROR(__xludf.DUMMYFUNCTION("""COMPUTED_VALUE"""),"Exercises Participatory RD&amp;E, introduction in the peanut model")</f>
        <v>Exercises Participatory RD&amp;E, introduction in the peanut model</v>
      </c>
      <c r="G74" s="98" t="str">
        <f ca="1">IFERROR(__xludf.DUMMYFUNCTION("""COMPUTED_VALUE"""),"AH")</f>
        <v>AH</v>
      </c>
      <c r="H74" s="86" t="str">
        <f ca="1">IFERROR(__xludf.DUMMYFUNCTION("""COMPUTED_VALUE"""),"Articum 2")</f>
        <v>Articum 2</v>
      </c>
    </row>
    <row r="75" spans="2:8" ht="12.75">
      <c r="B75" s="15"/>
      <c r="C75" s="75"/>
      <c r="D75" s="27" t="str">
        <f ca="1">IFERROR(__xludf.DUMMYFUNCTION("""COMPUTED_VALUE"""),"Wednesday")</f>
        <v>Wednesday</v>
      </c>
      <c r="E75" s="12" t="str">
        <f ca="1">IFERROR(__xludf.DUMMYFUNCTION("""COMPUTED_VALUE"""),"09.15-13.00")</f>
        <v>09.15-13.00</v>
      </c>
      <c r="F75" s="132" t="str">
        <f ca="1">IFERROR(__xludf.DUMMYFUNCTION("""COMPUTED_VALUE"""),"The Peanut Model and other sustainability assessment models,")</f>
        <v>The Peanut Model and other sustainability assessment models,</v>
      </c>
      <c r="G75" s="133" t="str">
        <f ca="1">IFERROR(__xludf.DUMMYFUNCTION("""COMPUTED_VALUE"""),"AH/TD")</f>
        <v>AH/TD</v>
      </c>
      <c r="H75" s="11" t="str">
        <f ca="1">IFERROR(__xludf.DUMMYFUNCTION("""COMPUTED_VALUE"""),"Articum 2")</f>
        <v>Articum 2</v>
      </c>
    </row>
    <row r="76" spans="2:8" ht="12.75">
      <c r="B76" s="15"/>
      <c r="C76" s="10">
        <f ca="1">IFERROR(__xludf.DUMMYFUNCTION("""COMPUTED_VALUE"""),45553)</f>
        <v>45553</v>
      </c>
      <c r="D76" s="30"/>
      <c r="E76" s="25" t="str">
        <f ca="1">IFERROR(__xludf.DUMMYFUNCTION("""COMPUTED_VALUE"""),"TENTATIVE")</f>
        <v>TENTATIVE</v>
      </c>
      <c r="F76" s="134" t="str">
        <f ca="1">IFERROR(__xludf.DUMMYFUNCTION("""COMPUTED_VALUE"""),"ALNARPSFARMEN")</f>
        <v>ALNARPSFARMEN</v>
      </c>
      <c r="G76" s="30"/>
      <c r="H76" s="30"/>
    </row>
    <row r="77" spans="2:8" ht="12.75">
      <c r="B77" s="15"/>
      <c r="C77" s="80"/>
      <c r="D77" s="81"/>
      <c r="E77" s="58"/>
      <c r="F77" s="91" t="str">
        <f ca="1">IFERROR(__xludf.DUMMYFUNCTION("""COMPUTED_VALUE"""),"www.16personalities.com/free-personality-test : do the test and send the results to TD by 17:00 latest!")</f>
        <v>www.16personalities.com/free-personality-test : do the test and send the results to TD by 17:00 latest!</v>
      </c>
      <c r="G77" s="2"/>
      <c r="H77" s="29"/>
    </row>
    <row r="78" spans="2:8" ht="12.75">
      <c r="B78" s="15"/>
      <c r="C78" s="135"/>
      <c r="D78" s="59"/>
      <c r="E78" s="47"/>
      <c r="F78" s="136" t="str">
        <f ca="1">IFERROR(__xludf.DUMMYFUNCTION("""COMPUTED_VALUE"""),"study e-cases, to be selected tomorrow, one per group.  ")</f>
        <v xml:space="preserve">study e-cases, to be selected tomorrow, one per group.  </v>
      </c>
      <c r="G78" s="137" t="str">
        <f ca="1">IFERROR(__xludf.DUMMYFUNCTION("""COMPUTED_VALUE"""),"-")</f>
        <v>-</v>
      </c>
      <c r="H78" s="20"/>
    </row>
    <row r="79" spans="2:8" ht="12.75">
      <c r="B79" s="15"/>
      <c r="C79" s="75"/>
      <c r="D79" s="61"/>
      <c r="E79" s="138" t="str">
        <f ca="1">IFERROR(__xludf.DUMMYFUNCTION("""COMPUTED_VALUE"""),"09.15 -12.00")</f>
        <v>09.15 -12.00</v>
      </c>
      <c r="F79" s="139" t="str">
        <f ca="1">IFERROR(__xludf.DUMMYFUNCTION("""COMPUTED_VALUE"""),"groups (TD) and lecture TJ (10.15-12), group formation, group exercises, reminder on literature seminar")</f>
        <v>groups (TD) and lecture TJ (10.15-12), group formation, group exercises, reminder on literature seminar</v>
      </c>
      <c r="G79" s="140" t="str">
        <f ca="1">IFERROR(__xludf.DUMMYFUNCTION("""COMPUTED_VALUE"""),"TJ, TD")</f>
        <v>TJ, TD</v>
      </c>
      <c r="H79" s="27" t="str">
        <f ca="1">IFERROR(__xludf.DUMMYFUNCTION("""COMPUTED_VALUE"""),"Articum 2")</f>
        <v>Articum 2</v>
      </c>
    </row>
    <row r="80" spans="2:8" ht="12.75">
      <c r="B80" s="15"/>
      <c r="C80" s="10">
        <f ca="1">IFERROR(__xludf.DUMMYFUNCTION("""COMPUTED_VALUE"""),45554)</f>
        <v>45554</v>
      </c>
      <c r="D80" s="28" t="str">
        <f ca="1">IFERROR(__xludf.DUMMYFUNCTION("""COMPUTED_VALUE"""),"Thursday")</f>
        <v>Thursday</v>
      </c>
      <c r="E80" s="30"/>
      <c r="F80" s="117"/>
      <c r="G80" s="30"/>
      <c r="H80" s="30"/>
    </row>
    <row r="81" spans="2:8" ht="12.75">
      <c r="B81" s="15"/>
      <c r="C81" s="141"/>
      <c r="D81" s="142"/>
      <c r="E81" s="143" t="str">
        <f ca="1">IFERROR(__xludf.DUMMYFUNCTION("""COMPUTED_VALUE"""),"13.15-17.00")</f>
        <v>13.15-17.00</v>
      </c>
      <c r="F81" s="3" t="str">
        <f ca="1">IFERROR(__xludf.DUMMYFUNCTION("""COMPUTED_VALUE"""),"e-case lecture (MT presentation of starting an agroecology farm &amp; network in Trentino), work on e-cases, literature for seminars")</f>
        <v>e-case lecture (MT presentation of starting an agroecology farm &amp; network in Trentino), work on e-cases, literature for seminars</v>
      </c>
      <c r="G81" s="144" t="str">
        <f ca="1">IFERROR(__xludf.DUMMYFUNCTION("""COMPUTED_VALUE"""),"MT")</f>
        <v>MT</v>
      </c>
      <c r="H81" s="27" t="str">
        <f ca="1">IFERROR(__xludf.DUMMYFUNCTION("""COMPUTED_VALUE"""),"Articum 2")</f>
        <v>Articum 2</v>
      </c>
    </row>
    <row r="82" spans="2:8" ht="12.75">
      <c r="B82" s="15"/>
      <c r="C82" s="46"/>
      <c r="D82" s="59"/>
      <c r="E82" s="145"/>
      <c r="F82" s="120" t="str">
        <f ca="1">IFERROR(__xludf.DUMMYFUNCTION("""COMPUTED_VALUE"""),"Assignment 1b: peer review assignment 1 due. 24:00")</f>
        <v>Assignment 1b: peer review assignment 1 due. 24:00</v>
      </c>
      <c r="G82" s="47"/>
      <c r="H82" s="58"/>
    </row>
    <row r="83" spans="2:8" ht="12.75">
      <c r="B83" s="15"/>
      <c r="C83" s="146"/>
      <c r="D83" s="29"/>
      <c r="E83" s="147" t="str">
        <f ca="1">IFERROR(__xludf.DUMMYFUNCTION("""COMPUTED_VALUE"""),"09:15-12.00")</f>
        <v>09:15-12.00</v>
      </c>
      <c r="F83" s="87" t="str">
        <f ca="1">IFERROR(__xludf.DUMMYFUNCTION("""COMPUTED_VALUE"""),"working on e-cases in your groups, prep PRA tools for farm visit (Semi-structured interview, time-line, transect, flow diagram, ...)")</f>
        <v>working on e-cases in your groups, prep PRA tools for farm visit (Semi-structured interview, time-line, transect, flow diagram, ...)</v>
      </c>
      <c r="G83" s="148" t="str">
        <f ca="1">IFERROR(__xludf.DUMMYFUNCTION("""COMPUTED_VALUE"""),"MT")</f>
        <v>MT</v>
      </c>
      <c r="H83" s="11" t="str">
        <f ca="1">IFERROR(__xludf.DUMMYFUNCTION("""COMPUTED_VALUE"""),"Articum 2")</f>
        <v>Articum 2</v>
      </c>
    </row>
    <row r="84" spans="2:8" ht="12.75">
      <c r="B84" s="15"/>
      <c r="C84" s="149"/>
      <c r="D84" s="29"/>
      <c r="E84" s="2"/>
      <c r="F84" s="150" t="str">
        <f ca="1">IFERROR(__xludf.DUMMYFUNCTION("""COMPUTED_VALUE"""),"Suggestion: look at assignment guide to anticipate what you need, where things may go wrong etc")</f>
        <v>Suggestion: look at assignment guide to anticipate what you need, where things may go wrong etc</v>
      </c>
      <c r="G84" s="71"/>
      <c r="H84" s="105"/>
    </row>
    <row r="85" spans="2:8" ht="12.75">
      <c r="B85" s="15"/>
      <c r="C85" s="10">
        <f ca="1">IFERROR(__xludf.DUMMYFUNCTION("""COMPUTED_VALUE"""),45555)</f>
        <v>45555</v>
      </c>
      <c r="D85" s="151" t="str">
        <f ca="1">IFERROR(__xludf.DUMMYFUNCTION("""COMPUTED_VALUE"""),"Friday")</f>
        <v>Friday</v>
      </c>
      <c r="E85" s="3" t="str">
        <f ca="1">IFERROR(__xludf.DUMMYFUNCTION("""COMPUTED_VALUE"""),"13.15 -17.00")</f>
        <v>13.15 -17.00</v>
      </c>
      <c r="F85" s="24" t="str">
        <f ca="1">IFERROR(__xludf.DUMMYFUNCTION("""COMPUTED_VALUE"""),"working on e-cases in your groups, prep PRA tools for farm visit (Semi-structured interview, time-line, transect, flow diagram, ...)")</f>
        <v>working on e-cases in your groups, prep PRA tools for farm visit (Semi-structured interview, time-line, transect, flow diagram, ...)</v>
      </c>
      <c r="G85" s="71"/>
      <c r="H85" s="152" t="str">
        <f ca="1">IFERROR(__xludf.DUMMYFUNCTION("""COMPUTED_VALUE"""),"TBD Art")</f>
        <v>TBD Art</v>
      </c>
    </row>
    <row r="86" spans="2:8" ht="12.75">
      <c r="B86" s="66"/>
      <c r="C86" s="153"/>
      <c r="D86" s="20"/>
      <c r="E86" s="154"/>
      <c r="F86" s="155"/>
      <c r="G86" s="156"/>
      <c r="H86" s="157" t="str">
        <f ca="1">IFERROR(__xludf.DUMMYFUNCTION("""COMPUTED_VALUE"""),"up to groups")</f>
        <v>up to groups</v>
      </c>
    </row>
    <row r="87" spans="2:8" ht="12.75">
      <c r="B87" s="2"/>
      <c r="C87" s="2"/>
      <c r="D87" s="2"/>
      <c r="E87" s="2"/>
      <c r="F87" s="139" t="str">
        <f ca="1">IFERROR(__xludf.DUMMYFUNCTION("""COMPUTED_VALUE"""),"Watch the movie, the permaculture orchard (available online")</f>
        <v>Watch the movie, the permaculture orchard (available online</v>
      </c>
      <c r="G87" s="2"/>
      <c r="H87" s="2"/>
    </row>
    <row r="88" spans="2:8" ht="12.75">
      <c r="B88" s="2"/>
      <c r="C88" s="158"/>
      <c r="D88" s="2"/>
      <c r="E88" s="2"/>
      <c r="F88" s="84" t="str">
        <f ca="1">IFERROR(__xludf.DUMMYFUNCTION("""COMPUTED_VALUE"""),"Read Gliessman Chapter 11-13 as preparation to the farm analyses")</f>
        <v>Read Gliessman Chapter 11-13 as preparation to the farm analyses</v>
      </c>
      <c r="G88" s="2"/>
      <c r="H88" s="2"/>
    </row>
    <row r="89" spans="2:8" ht="12.75">
      <c r="B89" s="7" t="str">
        <f ca="1">IFERROR(__xludf.DUMMYFUNCTION("""COMPUTED_VALUE"""),"Week")</f>
        <v>Week</v>
      </c>
      <c r="C89" s="159" t="str">
        <f ca="1">IFERROR(__xludf.DUMMYFUNCTION("""COMPUTED_VALUE"""),"Date")</f>
        <v>Date</v>
      </c>
      <c r="D89" s="7" t="str">
        <f ca="1">IFERROR(__xludf.DUMMYFUNCTION("""COMPUTED_VALUE"""),"Day")</f>
        <v>Day</v>
      </c>
      <c r="E89" s="7" t="str">
        <f ca="1">IFERROR(__xludf.DUMMYFUNCTION("""COMPUTED_VALUE"""),"Time")</f>
        <v>Time</v>
      </c>
      <c r="F89" s="160"/>
      <c r="G89" s="161" t="str">
        <f ca="1">IFERROR(__xludf.DUMMYFUNCTION("""COMPUTED_VALUE"""),"Teacher")</f>
        <v>Teacher</v>
      </c>
      <c r="H89" s="162" t="str">
        <f ca="1">IFERROR(__xludf.DUMMYFUNCTION("""COMPUTED_VALUE"""),"Place ")</f>
        <v xml:space="preserve">Place </v>
      </c>
    </row>
    <row r="90" spans="2:8" ht="12.75">
      <c r="B90" s="122"/>
      <c r="C90" s="75"/>
      <c r="D90" s="61"/>
      <c r="E90" s="147" t="str">
        <f ca="1">IFERROR(__xludf.DUMMYFUNCTION("""COMPUTED_VALUE"""),"09:15-12.00")</f>
        <v>09:15-12.00</v>
      </c>
      <c r="F90" s="97" t="str">
        <f ca="1">IFERROR(__xludf.DUMMYFUNCTION("""COMPUTED_VALUE"""),"Farm visits and group work, literature seminar preparation, analyze material obtained during interviews, AAF tasks")</f>
        <v>Farm visits and group work, literature seminar preparation, analyze material obtained during interviews, AAF tasks</v>
      </c>
      <c r="G90" s="163" t="str">
        <f ca="1">IFERROR(__xludf.DUMMYFUNCTION("""COMPUTED_VALUE"""),"MT/TD")</f>
        <v>MT/TD</v>
      </c>
      <c r="H90" s="164"/>
    </row>
    <row r="91" spans="2:8" ht="12.75">
      <c r="B91" s="125">
        <f ca="1">IFERROR(__xludf.DUMMYFUNCTION("""COMPUTED_VALUE"""),38)</f>
        <v>38</v>
      </c>
      <c r="C91" s="10">
        <f ca="1">IFERROR(__xludf.DUMMYFUNCTION("""COMPUTED_VALUE"""),45558)</f>
        <v>45558</v>
      </c>
      <c r="D91" s="28" t="str">
        <f ca="1">IFERROR(__xludf.DUMMYFUNCTION("""COMPUTED_VALUE"""),"Monday")</f>
        <v>Monday</v>
      </c>
      <c r="E91" s="2"/>
      <c r="F91" s="165"/>
      <c r="G91" s="166"/>
      <c r="H91" s="167"/>
    </row>
    <row r="92" spans="2:8" ht="12.75">
      <c r="B92" s="15"/>
      <c r="C92" s="51"/>
      <c r="D92" s="30"/>
      <c r="E92" s="91" t="str">
        <f ca="1">IFERROR(__xludf.DUMMYFUNCTION("""COMPUTED_VALUE"""),"13.15 -15.00")</f>
        <v>13.15 -15.00</v>
      </c>
      <c r="F92" s="168" t="str">
        <f ca="1">IFERROR(__xludf.DUMMYFUNCTION("""COMPUTED_VALUE"""),"Farm visits and group work, literature seminar preparation, analyze material obtained during interviews ")</f>
        <v xml:space="preserve">Farm visits and group work, literature seminar preparation, analyze material obtained during interviews </v>
      </c>
      <c r="G92" s="169" t="str">
        <f ca="1">IFERROR(__xludf.DUMMYFUNCTION("""COMPUTED_VALUE"""),"-")</f>
        <v>-</v>
      </c>
      <c r="H92" s="40"/>
    </row>
    <row r="93" spans="2:8" ht="12.75">
      <c r="B93" s="15"/>
      <c r="C93" s="75"/>
      <c r="D93" s="61"/>
      <c r="E93" s="138" t="str">
        <f ca="1">IFERROR(__xludf.DUMMYFUNCTION("""COMPUTED_VALUE"""),"AM")</f>
        <v>AM</v>
      </c>
      <c r="F93" s="91" t="str">
        <f ca="1">IFERROR(__xludf.DUMMYFUNCTION("""COMPUTED_VALUE"""),"Farm visits and group work, literature seminar preparation, analyze material obtained during interviews; AAF tasks")</f>
        <v>Farm visits and group work, literature seminar preparation, analyze material obtained during interviews; AAF tasks</v>
      </c>
      <c r="G93" s="170" t="str">
        <f ca="1">IFERROR(__xludf.DUMMYFUNCTION("""COMPUTED_VALUE"""),"MT / TD")</f>
        <v>MT / TD</v>
      </c>
      <c r="H93" s="61"/>
    </row>
    <row r="94" spans="2:8" ht="12.75">
      <c r="B94" s="15"/>
      <c r="C94" s="10">
        <f ca="1">IFERROR(__xludf.DUMMYFUNCTION("""COMPUTED_VALUE"""),45559)</f>
        <v>45559</v>
      </c>
      <c r="D94" s="28" t="str">
        <f ca="1">IFERROR(__xludf.DUMMYFUNCTION("""COMPUTED_VALUE"""),"Tuesday ")</f>
        <v xml:space="preserve">Tuesday </v>
      </c>
      <c r="E94" s="95"/>
      <c r="F94" s="71"/>
      <c r="G94" s="55"/>
      <c r="H94" s="30"/>
    </row>
    <row r="95" spans="2:8" ht="12.75">
      <c r="B95" s="15"/>
      <c r="C95" s="51"/>
      <c r="D95" s="30"/>
      <c r="E95" s="3" t="str">
        <f ca="1">IFERROR(__xludf.DUMMYFUNCTION("""COMPUTED_VALUE"""),"PM")</f>
        <v>PM</v>
      </c>
      <c r="F95" s="34" t="str">
        <f ca="1">IFERROR(__xludf.DUMMYFUNCTION("""COMPUTED_VALUE"""),"Farm visits and group work, literature seminar preparation, analyze material obtained during interviews, AAF tasks")</f>
        <v>Farm visits and group work, literature seminar preparation, analyze material obtained during interviews, AAF tasks</v>
      </c>
      <c r="G95" s="171" t="str">
        <f ca="1">IFERROR(__xludf.DUMMYFUNCTION("""COMPUTED_VALUE"""),"MT / TD")</f>
        <v>MT / TD</v>
      </c>
      <c r="H95" s="30"/>
    </row>
    <row r="96" spans="2:8" ht="12.75">
      <c r="B96" s="15"/>
      <c r="C96" s="135"/>
      <c r="D96" s="47"/>
      <c r="E96" s="40"/>
      <c r="F96" s="172"/>
      <c r="G96" s="95"/>
      <c r="H96" s="40"/>
    </row>
    <row r="97" spans="2:8" ht="12.75">
      <c r="B97" s="15"/>
      <c r="C97" s="75"/>
      <c r="D97" s="61"/>
      <c r="E97" s="173" t="str">
        <f ca="1">IFERROR(__xludf.DUMMYFUNCTION("""COMPUTED_VALUE"""),"09:15-12:00")</f>
        <v>09:15-12:00</v>
      </c>
      <c r="F97" s="174" t="str">
        <f ca="1">IFERROR(__xludf.DUMMYFUNCTION("""COMPUTED_VALUE"""),"cross sharing farm visits (working on group presentations, prep lit sem)")</f>
        <v>cross sharing farm visits (working on group presentations, prep lit sem)</v>
      </c>
      <c r="G97" s="124" t="str">
        <f ca="1">IFERROR(__xludf.DUMMYFUNCTION("""COMPUTED_VALUE"""),"TD")</f>
        <v>TD</v>
      </c>
      <c r="H97" s="27" t="str">
        <f ca="1">IFERROR(__xludf.DUMMYFUNCTION("""COMPUTED_VALUE"""),"Articum 2")</f>
        <v>Articum 2</v>
      </c>
    </row>
    <row r="98" spans="2:8" ht="12.75">
      <c r="B98" s="15"/>
      <c r="C98" s="10">
        <f ca="1">IFERROR(__xludf.DUMMYFUNCTION("""COMPUTED_VALUE"""),45560)</f>
        <v>45560</v>
      </c>
      <c r="D98" s="28" t="str">
        <f ca="1">IFERROR(__xludf.DUMMYFUNCTION("""COMPUTED_VALUE"""),"Wednesday")</f>
        <v>Wednesday</v>
      </c>
      <c r="E98" s="175"/>
      <c r="F98" s="126"/>
      <c r="G98" s="71"/>
      <c r="H98" s="29"/>
    </row>
    <row r="99" spans="2:8" ht="12.75">
      <c r="B99" s="15"/>
      <c r="C99" s="51"/>
      <c r="D99" s="30"/>
      <c r="E99" s="29"/>
      <c r="F99" s="91" t="str">
        <f ca="1">IFERROR(__xludf.DUMMYFUNCTION("""COMPUTED_VALUE"""),"work on group presentation of : comparing e-cases, alnarpsegendommen, own farm, reflecting on what you needed more info on")</f>
        <v>work on group presentation of : comparing e-cases, alnarpsegendommen, own farm, reflecting on what you needed more info on</v>
      </c>
      <c r="G99" s="29"/>
      <c r="H99" s="30"/>
    </row>
    <row r="100" spans="2:8" ht="12.75">
      <c r="B100" s="15"/>
      <c r="C100" s="176"/>
      <c r="D100" s="40"/>
      <c r="E100" s="108"/>
      <c r="F100" s="177"/>
      <c r="G100" s="40"/>
      <c r="H100" s="40"/>
    </row>
    <row r="101" spans="2:8" ht="12.75">
      <c r="B101" s="15"/>
      <c r="C101" s="178"/>
      <c r="D101" s="179"/>
      <c r="E101" s="180" t="str">
        <f ca="1">IFERROR(__xludf.DUMMYFUNCTION("""COMPUTED_VALUE"""),"09:15-12.00")</f>
        <v>09:15-12.00</v>
      </c>
      <c r="F101" s="181" t="str">
        <f ca="1">IFERROR(__xludf.DUMMYFUNCTION("""COMPUTED_VALUE"""),"visiting various local business in slow food, accelerators, organic production, social enterprises etc.")</f>
        <v>visiting various local business in slow food, accelerators, organic production, social enterprises etc.</v>
      </c>
      <c r="G101" s="182"/>
      <c r="H101" s="182"/>
    </row>
    <row r="102" spans="2:8" ht="12.75">
      <c r="B102" s="15"/>
      <c r="C102" s="10">
        <f ca="1">IFERROR(__xludf.DUMMYFUNCTION("""COMPUTED_VALUE"""),45561)</f>
        <v>45561</v>
      </c>
      <c r="D102" s="183" t="str">
        <f ca="1">IFERROR(__xludf.DUMMYFUNCTION("""COMPUTED_VALUE"""),"Thursday")</f>
        <v>Thursday</v>
      </c>
      <c r="E102" s="184"/>
      <c r="F102" s="185"/>
      <c r="G102" s="186"/>
      <c r="H102" s="187"/>
    </row>
    <row r="103" spans="2:8" ht="12.75">
      <c r="B103" s="15"/>
      <c r="C103" s="188"/>
      <c r="D103" s="189"/>
      <c r="E103" s="190" t="str">
        <f ca="1">IFERROR(__xludf.DUMMYFUNCTION("""COMPUTED_VALUE"""),"13.15-17.00")</f>
        <v>13.15-17.00</v>
      </c>
      <c r="F103" s="181" t="str">
        <f ca="1">IFERROR(__xludf.DUMMYFUNCTION("""COMPUTED_VALUE"""),"visiting various local business in slow food, accelerators, organic production, social enterprises etc.")</f>
        <v>visiting various local business in slow food, accelerators, organic production, social enterprises etc.</v>
      </c>
      <c r="G103" s="191"/>
      <c r="H103" s="192"/>
    </row>
    <row r="104" spans="2:8" ht="12.75">
      <c r="B104" s="15"/>
      <c r="C104" s="193"/>
      <c r="D104" s="179"/>
      <c r="E104" s="194" t="str">
        <f ca="1">IFERROR(__xludf.DUMMYFUNCTION("""COMPUTED_VALUE"""),"09.15-12.00")</f>
        <v>09.15-12.00</v>
      </c>
      <c r="F104" s="195" t="str">
        <f ca="1">IFERROR(__xludf.DUMMYFUNCTION("""COMPUTED_VALUE"""),"visiting various local business in slow food, accelerators, organic production, social enterprises etc.")</f>
        <v>visiting various local business in slow food, accelerators, organic production, social enterprises etc.</v>
      </c>
      <c r="G104" s="182"/>
      <c r="H104" s="196"/>
    </row>
    <row r="105" spans="2:8" ht="12.75">
      <c r="B105" s="15"/>
      <c r="C105" s="10">
        <f ca="1">IFERROR(__xludf.DUMMYFUNCTION("""COMPUTED_VALUE"""),45562)</f>
        <v>45562</v>
      </c>
      <c r="D105" s="197" t="str">
        <f ca="1">IFERROR(__xludf.DUMMYFUNCTION("""COMPUTED_VALUE"""),"Friday")</f>
        <v>Friday</v>
      </c>
      <c r="E105" s="186"/>
      <c r="F105" s="198" t="str">
        <f ca="1">IFERROR(__xludf.DUMMYFUNCTION("""COMPUTED_VALUE"""),"MARKETGARDEN LECTURE JMF")</f>
        <v>MARKETGARDEN LECTURE JMF</v>
      </c>
      <c r="G105" s="199"/>
      <c r="H105" s="200"/>
    </row>
    <row r="106" spans="2:8" ht="12.75">
      <c r="B106" s="201"/>
      <c r="C106" s="202"/>
      <c r="D106" s="203"/>
      <c r="E106" s="204" t="str">
        <f ca="1">IFERROR(__xludf.DUMMYFUNCTION("""COMPUTED_VALUE"""),"afternoon/evening")</f>
        <v>afternoon/evening</v>
      </c>
      <c r="F106" s="68" t="str">
        <f ca="1">IFERROR(__xludf.DUMMYFUNCTION("""COMPUTED_VALUE"""),"cooking, social event AT ALNARPSFARM")</f>
        <v>cooking, social event AT ALNARPSFARM</v>
      </c>
      <c r="G106" s="205"/>
      <c r="H106" s="206"/>
    </row>
    <row r="107" spans="2:8" ht="12.75">
      <c r="B107" s="2"/>
      <c r="C107" s="158"/>
      <c r="D107" s="2"/>
      <c r="E107" s="2"/>
      <c r="F107" s="2"/>
      <c r="G107" s="2"/>
      <c r="H107" s="71"/>
    </row>
    <row r="108" spans="2:8" ht="12.75">
      <c r="B108" s="2"/>
      <c r="C108" s="207" t="str">
        <f ca="1">IFERROR(__xludf.DUMMYFUNCTION("""COMPUTED_VALUE"""),"Sunday evening: deadline: topics for each literature seminar per group, including 3 main papers, and a 1 page explanation of why this topic is relevant for AE")</f>
        <v>Sunday evening: deadline: topics for each literature seminar per group, including 3 main papers, and a 1 page explanation of why this topic is relevant for AE</v>
      </c>
      <c r="D108" s="208"/>
      <c r="E108" s="208"/>
      <c r="F108" s="208"/>
      <c r="G108" s="2"/>
      <c r="H108" s="71"/>
    </row>
    <row r="109" spans="2:8" ht="12.75">
      <c r="B109" s="2"/>
      <c r="C109" s="158"/>
      <c r="D109" s="2"/>
      <c r="E109" s="2"/>
      <c r="F109" s="209"/>
      <c r="G109" s="2"/>
      <c r="H109" s="71"/>
    </row>
    <row r="110" spans="2:8" ht="12.75">
      <c r="B110" s="210" t="str">
        <f ca="1">IFERROR(__xludf.DUMMYFUNCTION("""COMPUTED_VALUE"""),"Week")</f>
        <v>Week</v>
      </c>
      <c r="C110" s="73" t="str">
        <f ca="1">IFERROR(__xludf.DUMMYFUNCTION("""COMPUTED_VALUE"""),"Date")</f>
        <v>Date</v>
      </c>
      <c r="D110" s="7" t="str">
        <f ca="1">IFERROR(__xludf.DUMMYFUNCTION("""COMPUTED_VALUE"""),"Day")</f>
        <v>Day</v>
      </c>
      <c r="E110" s="7" t="str">
        <f ca="1">IFERROR(__xludf.DUMMYFUNCTION("""COMPUTED_VALUE"""),"Time")</f>
        <v>Time</v>
      </c>
      <c r="F110" s="8"/>
      <c r="G110" s="7" t="str">
        <f ca="1">IFERROR(__xludf.DUMMYFUNCTION("""COMPUTED_VALUE"""),"Teacher")</f>
        <v>Teacher</v>
      </c>
      <c r="H110" s="7" t="str">
        <f ca="1">IFERROR(__xludf.DUMMYFUNCTION("""COMPUTED_VALUE"""),"Place ")</f>
        <v xml:space="preserve">Place </v>
      </c>
    </row>
    <row r="111" spans="2:8" ht="12.75">
      <c r="B111" s="211"/>
      <c r="C111" s="75"/>
      <c r="D111" s="61"/>
      <c r="E111" s="12" t="str">
        <f ca="1">IFERROR(__xludf.DUMMYFUNCTION("""COMPUTED_VALUE"""),"09.15 -12.00")</f>
        <v>09.15 -12.00</v>
      </c>
      <c r="F111" s="97" t="str">
        <f ca="1">IFERROR(__xludf.DUMMYFUNCTION("""COMPUTED_VALUE"""),"Landscape ecology")</f>
        <v>Landscape ecology</v>
      </c>
      <c r="G111" s="212" t="str">
        <f ca="1">IFERROR(__xludf.DUMMYFUNCTION("""COMPUTED_VALUE"""),"ML")</f>
        <v>ML</v>
      </c>
      <c r="H111" s="213" t="str">
        <f ca="1">IFERROR(__xludf.DUMMYFUNCTION("""COMPUTED_VALUE"""),"Västan ")</f>
        <v xml:space="preserve">Västan </v>
      </c>
    </row>
    <row r="112" spans="2:8" ht="12.75">
      <c r="B112" s="125">
        <f ca="1">IFERROR(__xludf.DUMMYFUNCTION("""COMPUTED_VALUE"""),39)</f>
        <v>39</v>
      </c>
      <c r="C112" s="10">
        <f ca="1">IFERROR(__xludf.DUMMYFUNCTION("""COMPUTED_VALUE"""),45565)</f>
        <v>45565</v>
      </c>
      <c r="D112" s="28" t="str">
        <f ca="1">IFERROR(__xludf.DUMMYFUNCTION("""COMPUTED_VALUE"""),"Monday")</f>
        <v>Monday</v>
      </c>
      <c r="E112" s="214" t="str">
        <f ca="1">IFERROR(__xludf.DUMMYFUNCTION("""COMPUTED_VALUE"""),"13.00 - 15.00")</f>
        <v>13.00 - 15.00</v>
      </c>
      <c r="F112" s="215" t="str">
        <f ca="1">IFERROR(__xludf.DUMMYFUNCTION("""COMPUTED_VALUE"""),"Concentration of power in the food system, digitil on zoom: https://slu-se.zoom.us/j/62805089074 pw: 111222")</f>
        <v>Concentration of power in the food system, digitil on zoom: https://slu-se.zoom.us/j/62805089074 pw: 111222</v>
      </c>
      <c r="G112" s="53" t="str">
        <f ca="1">IFERROR(__xludf.DUMMYFUNCTION("""COMPUTED_VALUE"""),"PH")</f>
        <v>PH</v>
      </c>
      <c r="H112" s="92" t="str">
        <f ca="1">IFERROR(__xludf.DUMMYFUNCTION("""COMPUTED_VALUE"""),"Articum 2")</f>
        <v>Articum 2</v>
      </c>
    </row>
    <row r="113" spans="2:8" ht="12.75">
      <c r="B113" s="15"/>
      <c r="C113" s="135"/>
      <c r="D113" s="59"/>
      <c r="E113" s="216"/>
      <c r="F113" s="20"/>
      <c r="G113" s="217" t="str">
        <f ca="1">IFERROR(__xludf.DUMMYFUNCTION("""COMPUTED_VALUE"""),"-")</f>
        <v>-</v>
      </c>
      <c r="H113" s="36"/>
    </row>
    <row r="114" spans="2:8" ht="12.75">
      <c r="B114" s="15"/>
      <c r="C114" s="218"/>
      <c r="D114" s="105"/>
      <c r="E114" s="219" t="str">
        <f ca="1">IFERROR(__xludf.DUMMYFUNCTION("""COMPUTED_VALUE"""),"09.15-12.00")</f>
        <v>09.15-12.00</v>
      </c>
      <c r="F114" s="91" t="str">
        <f ca="1">IFERROR(__xludf.DUMMYFUNCTION("""COMPUTED_VALUE"""),"Biomes")</f>
        <v>Biomes</v>
      </c>
      <c r="G114" s="106" t="str">
        <f ca="1">IFERROR(__xludf.DUMMYFUNCTION("""COMPUTED_VALUE"""),"ML")</f>
        <v>ML</v>
      </c>
      <c r="H114" s="151" t="str">
        <f ca="1">IFERROR(__xludf.DUMMYFUNCTION("""COMPUTED_VALUE"""),"Västan")</f>
        <v>Västan</v>
      </c>
    </row>
    <row r="115" spans="2:8" ht="12.75">
      <c r="B115" s="15"/>
      <c r="C115" s="10">
        <f ca="1">IFERROR(__xludf.DUMMYFUNCTION("""COMPUTED_VALUE"""),45566)</f>
        <v>45566</v>
      </c>
      <c r="D115" s="28" t="str">
        <f ca="1">IFERROR(__xludf.DUMMYFUNCTION("""COMPUTED_VALUE"""),"Tuesday ")</f>
        <v xml:space="preserve">Tuesday </v>
      </c>
      <c r="E115" s="2"/>
      <c r="F115" s="29"/>
      <c r="G115" s="131"/>
      <c r="H115" s="30"/>
    </row>
    <row r="116" spans="2:8" ht="12.75">
      <c r="B116" s="15"/>
      <c r="C116" s="51"/>
      <c r="D116" s="30"/>
      <c r="E116" s="91" t="str">
        <f ca="1">IFERROR(__xludf.DUMMYFUNCTION("""COMPUTED_VALUE"""),"13.15-16.00")</f>
        <v>13.15-16.00</v>
      </c>
      <c r="F116" s="139" t="str">
        <f ca="1">IFERROR(__xludf.DUMMYFUNCTION("""COMPUTED_VALUE"""),"Farming in biomes")</f>
        <v>Farming in biomes</v>
      </c>
      <c r="G116" s="106" t="str">
        <f ca="1">IFERROR(__xludf.DUMMYFUNCTION("""COMPUTED_VALUE"""),"ML")</f>
        <v>ML</v>
      </c>
      <c r="H116" s="50" t="str">
        <f ca="1">IFERROR(__xludf.DUMMYFUNCTION("""COMPUTED_VALUE"""),"Västan")</f>
        <v>Västan</v>
      </c>
    </row>
    <row r="117" spans="2:8" ht="12.75">
      <c r="B117" s="15"/>
      <c r="C117" s="75"/>
      <c r="D117" s="61"/>
      <c r="E117" s="61"/>
      <c r="F117" s="220" t="str">
        <f ca="1">IFERROR(__xludf.DUMMYFUNCTION("""COMPUTED_VALUE"""),"Assignment 2 - group presentations: 5 x 30 min and evaluation, comparing e-cases, alnarpsfarmen, own farm, reflections -&amp; tools for analysis")</f>
        <v>Assignment 2 - group presentations: 5 x 30 min and evaluation, comparing e-cases, alnarpsfarmen, own farm, reflections -&amp; tools for analysis</v>
      </c>
      <c r="G117" s="61"/>
      <c r="H117" s="151" t="str">
        <f ca="1">IFERROR(__xludf.DUMMYFUNCTION("""COMPUTED_VALUE"""),"Västan")</f>
        <v>Västan</v>
      </c>
    </row>
    <row r="118" spans="2:8" ht="12.75">
      <c r="B118" s="201"/>
      <c r="C118" s="10">
        <f ca="1">IFERROR(__xludf.DUMMYFUNCTION("""COMPUTED_VALUE"""),45567)</f>
        <v>45567</v>
      </c>
      <c r="D118" s="28" t="str">
        <f ca="1">IFERROR(__xludf.DUMMYFUNCTION("""COMPUTED_VALUE"""),"Wednesday")</f>
        <v>Wednesday</v>
      </c>
      <c r="E118" s="30"/>
      <c r="F118" s="2"/>
      <c r="G118" s="30"/>
      <c r="H118" s="100"/>
    </row>
    <row r="119" spans="2:8" ht="12.75">
      <c r="B119" s="221"/>
      <c r="C119" s="135"/>
      <c r="D119" s="222"/>
      <c r="E119" s="216"/>
      <c r="F119" s="29"/>
      <c r="G119" s="109" t="str">
        <f ca="1">IFERROR(__xludf.DUMMYFUNCTION("""COMPUTED_VALUE"""),"-")</f>
        <v>-</v>
      </c>
      <c r="H119" s="223" t="str">
        <f ca="1">IFERROR(__xludf.DUMMYFUNCTION("""COMPUTED_VALUE"""),"-")</f>
        <v>-</v>
      </c>
    </row>
    <row r="120" spans="2:8" ht="12.75">
      <c r="B120" s="224"/>
      <c r="C120" s="225"/>
      <c r="D120" s="226"/>
      <c r="E120" s="227">
        <f ca="1">IFERROR(__xludf.DUMMYFUNCTION("""COMPUTED_VALUE"""),0.5)</f>
        <v>0.5</v>
      </c>
      <c r="F120" s="228" t="str">
        <f ca="1">IFERROR(__xludf.DUMMYFUNCTION("""COMPUTED_VALUE"""),"Assignment 3 due: written reflection on the farm visit, and provide a draft peanut model of the farm you visited, max 3 ppp")</f>
        <v>Assignment 3 due: written reflection on the farm visit, and provide a draft peanut model of the farm you visited, max 3 ppp</v>
      </c>
      <c r="G120" s="118"/>
      <c r="H120" s="229"/>
    </row>
    <row r="121" spans="2:8" ht="12.75">
      <c r="B121" s="224"/>
      <c r="C121" s="10">
        <f ca="1">IFERROR(__xludf.DUMMYFUNCTION("""COMPUTED_VALUE"""),45568)</f>
        <v>45568</v>
      </c>
      <c r="D121" s="230" t="str">
        <f ca="1">IFERROR(__xludf.DUMMYFUNCTION("""COMPUTED_VALUE"""),"Thursday")</f>
        <v>Thursday</v>
      </c>
      <c r="E121" s="231"/>
      <c r="F121" s="2"/>
      <c r="G121" s="231"/>
      <c r="H121" s="232"/>
    </row>
    <row r="122" spans="2:8" ht="12.75">
      <c r="B122" s="224"/>
      <c r="C122" s="146"/>
      <c r="D122" s="233"/>
      <c r="E122" s="24" t="str">
        <f ca="1">IFERROR(__xludf.DUMMYFUNCTION("""COMPUTED_VALUE"""),"13.15-15.00")</f>
        <v>13.15-15.00</v>
      </c>
      <c r="F122" s="3" t="str">
        <f ca="1">IFERROR(__xludf.DUMMYFUNCTION("""COMPUTED_VALUE"""),"Diversification of cropping systems")</f>
        <v>Diversification of cropping systems</v>
      </c>
      <c r="G122" s="151" t="str">
        <f ca="1">IFERROR(__xludf.DUMMYFUNCTION("""COMPUTED_VALUE"""),"RC")</f>
        <v>RC</v>
      </c>
      <c r="H122" s="92" t="str">
        <f ca="1">IFERROR(__xludf.DUMMYFUNCTION("""COMPUTED_VALUE"""),"Articum 2")</f>
        <v>Articum 2</v>
      </c>
    </row>
    <row r="123" spans="2:8" ht="12.75">
      <c r="B123" s="224"/>
      <c r="C123" s="234"/>
      <c r="D123" s="226"/>
      <c r="E123" s="97" t="str">
        <f ca="1">IFERROR(__xludf.DUMMYFUNCTION("""COMPUTED_VALUE"""),"09.15-12.00")</f>
        <v>09.15-12.00</v>
      </c>
      <c r="F123" s="147" t="str">
        <f ca="1">IFERROR(__xludf.DUMMYFUNCTION("""COMPUTED_VALUE"""),"IPM and IPPM")</f>
        <v>IPM and IPPM</v>
      </c>
      <c r="G123" s="235" t="str">
        <f ca="1">IFERROR(__xludf.DUMMYFUNCTION("""COMPUTED_VALUE"""),"PE")</f>
        <v>PE</v>
      </c>
      <c r="H123" s="236" t="str">
        <f ca="1">IFERROR(__xludf.DUMMYFUNCTION("""COMPUTED_VALUE"""),"Terra Nova")</f>
        <v>Terra Nova</v>
      </c>
    </row>
    <row r="124" spans="2:8" ht="12.75">
      <c r="B124" s="224"/>
      <c r="C124" s="10">
        <f ca="1">IFERROR(__xludf.DUMMYFUNCTION("""COMPUTED_VALUE"""),45569)</f>
        <v>45569</v>
      </c>
      <c r="D124" s="99" t="str">
        <f ca="1">IFERROR(__xludf.DUMMYFUNCTION("""COMPUTED_VALUE"""),"Friday")</f>
        <v>Friday</v>
      </c>
      <c r="E124" s="231"/>
      <c r="F124" s="231"/>
      <c r="G124" s="95"/>
      <c r="H124" s="100"/>
    </row>
    <row r="125" spans="2:8" ht="12.75">
      <c r="B125" s="237"/>
      <c r="C125" s="176"/>
      <c r="D125" s="238"/>
      <c r="E125" s="239" t="str">
        <f ca="1">IFERROR(__xludf.DUMMYFUNCTION("""COMPUTED_VALUE"""),"13.15-16:00")</f>
        <v>13.15-16:00</v>
      </c>
      <c r="F125" s="68" t="str">
        <f ca="1">IFERROR(__xludf.DUMMYFUNCTION("""COMPUTED_VALUE"""),"ALNARPSFARM")</f>
        <v>ALNARPSFARM</v>
      </c>
      <c r="G125" s="240" t="str">
        <f ca="1">IFERROR(__xludf.DUMMYFUNCTION("""COMPUTED_VALUE"""),"TD/SH")</f>
        <v>TD/SH</v>
      </c>
      <c r="H125" s="40"/>
    </row>
    <row r="126" spans="2:8" ht="12.75">
      <c r="B126" s="2"/>
      <c r="C126" s="2"/>
      <c r="D126" s="2"/>
      <c r="E126" s="2"/>
      <c r="F126" s="2"/>
      <c r="G126" s="32"/>
      <c r="H126" s="71"/>
    </row>
    <row r="127" spans="2:8" ht="12.75">
      <c r="B127" s="2"/>
      <c r="C127" s="2"/>
      <c r="D127" s="2"/>
      <c r="E127" s="2"/>
      <c r="F127" s="117"/>
      <c r="G127" s="241"/>
      <c r="H127" s="71"/>
    </row>
    <row r="128" spans="2:8" ht="12.75">
      <c r="B128" s="7" t="str">
        <f ca="1">IFERROR(__xludf.DUMMYFUNCTION("""COMPUTED_VALUE"""),"Week")</f>
        <v>Week</v>
      </c>
      <c r="C128" s="73" t="str">
        <f ca="1">IFERROR(__xludf.DUMMYFUNCTION("""COMPUTED_VALUE"""),"Date")</f>
        <v>Date</v>
      </c>
      <c r="D128" s="7" t="str">
        <f ca="1">IFERROR(__xludf.DUMMYFUNCTION("""COMPUTED_VALUE"""),"Day")</f>
        <v>Day</v>
      </c>
      <c r="E128" s="7" t="str">
        <f ca="1">IFERROR(__xludf.DUMMYFUNCTION("""COMPUTED_VALUE"""),"Time")</f>
        <v>Time</v>
      </c>
      <c r="F128" s="8"/>
      <c r="G128" s="7" t="str">
        <f ca="1">IFERROR(__xludf.DUMMYFUNCTION("""COMPUTED_VALUE"""),"Teacher")</f>
        <v>Teacher</v>
      </c>
      <c r="H128" s="7" t="str">
        <f ca="1">IFERROR(__xludf.DUMMYFUNCTION("""COMPUTED_VALUE"""),"Place ")</f>
        <v xml:space="preserve">Place </v>
      </c>
    </row>
    <row r="129" spans="2:8" ht="12.75">
      <c r="B129" s="74"/>
      <c r="C129" s="75"/>
      <c r="D129" s="242"/>
      <c r="E129" s="12" t="str">
        <f ca="1">IFERROR(__xludf.DUMMYFUNCTION("""COMPUTED_VALUE"""),"10.15-12.00")</f>
        <v>10.15-12.00</v>
      </c>
      <c r="F129" s="243" t="str">
        <f ca="1">IFERROR(__xludf.DUMMYFUNCTION("""COMPUTED_VALUE"""),"Soils, pathogens and diseases, + intro in course in IPM (Sept 2024) - confirm")</f>
        <v>Soils, pathogens and diseases, + intro in course in IPM (Sept 2024) - confirm</v>
      </c>
      <c r="G129" s="244" t="str">
        <f ca="1">IFERROR(__xludf.DUMMYFUNCTION("""COMPUTED_VALUE"""),"LG")</f>
        <v>LG</v>
      </c>
      <c r="H129" s="151" t="str">
        <f ca="1">IFERROR(__xludf.DUMMYFUNCTION("""COMPUTED_VALUE"""),"Articum 2")</f>
        <v>Articum 2</v>
      </c>
    </row>
    <row r="130" spans="2:8" ht="12.75">
      <c r="B130" s="77">
        <f ca="1">IFERROR(__xludf.DUMMYFUNCTION("""COMPUTED_VALUE"""),40)</f>
        <v>40</v>
      </c>
      <c r="C130" s="10">
        <f ca="1">IFERROR(__xludf.DUMMYFUNCTION("""COMPUTED_VALUE"""),45572)</f>
        <v>45572</v>
      </c>
      <c r="D130" s="78" t="str">
        <f ca="1">IFERROR(__xludf.DUMMYFUNCTION("""COMPUTED_VALUE"""),"Monday")</f>
        <v>Monday</v>
      </c>
      <c r="E130" s="29"/>
      <c r="F130" s="2"/>
      <c r="G130" s="30"/>
      <c r="H130" s="100"/>
    </row>
    <row r="131" spans="2:8" ht="12.75">
      <c r="B131" s="41"/>
      <c r="C131" s="218"/>
      <c r="D131" s="245"/>
      <c r="E131" s="246" t="str">
        <f ca="1">IFERROR(__xludf.DUMMYFUNCTION("""COMPUTED_VALUE"""),"13.15-15.00")</f>
        <v>13.15-15.00</v>
      </c>
      <c r="F131" s="29"/>
      <c r="G131" s="94"/>
      <c r="H131" s="247" t="str">
        <f ca="1">IFERROR(__xludf.DUMMYFUNCTION("""COMPUTED_VALUE"""),"Articum 2")</f>
        <v>Articum 2</v>
      </c>
    </row>
    <row r="132" spans="2:8" ht="12.75">
      <c r="B132" s="41"/>
      <c r="C132" s="75"/>
      <c r="D132" s="61"/>
      <c r="E132" s="12" t="str">
        <f ca="1">IFERROR(__xludf.DUMMYFUNCTION("""COMPUTED_VALUE"""),"09.15-09.45")</f>
        <v>09.15-09.45</v>
      </c>
      <c r="F132" s="248" t="str">
        <f ca="1">IFERROR(__xludf.DUMMYFUNCTION("""COMPUTED_VALUE"""),"Intro in Environmental Economics and Management")</f>
        <v>Intro in Environmental Economics and Management</v>
      </c>
      <c r="G132" s="106" t="str">
        <f ca="1">IFERROR(__xludf.DUMMYFUNCTION("""COMPUTED_VALUE"""),"KK")</f>
        <v>KK</v>
      </c>
      <c r="H132" s="151" t="str">
        <f ca="1">IFERROR(__xludf.DUMMYFUNCTION("""COMPUTED_VALUE"""),"Terra Nova")</f>
        <v>Terra Nova</v>
      </c>
    </row>
    <row r="133" spans="2:8" ht="12.75">
      <c r="B133" s="41"/>
      <c r="C133" s="10">
        <f ca="1">IFERROR(__xludf.DUMMYFUNCTION("""COMPUTED_VALUE"""),45573)</f>
        <v>45573</v>
      </c>
      <c r="D133" s="28" t="str">
        <f ca="1">IFERROR(__xludf.DUMMYFUNCTION("""COMPUTED_VALUE"""),"Tuesday ")</f>
        <v xml:space="preserve">Tuesday </v>
      </c>
      <c r="E133" s="139" t="str">
        <f ca="1">IFERROR(__xludf.DUMMYFUNCTION("""COMPUTED_VALUE"""),"10.15-12.00")</f>
        <v>10.15-12.00</v>
      </c>
      <c r="F133" s="24" t="str">
        <f ca="1">IFERROR(__xludf.DUMMYFUNCTION("""COMPUTED_VALUE"""),"The Biological Basis of Soil Fertility")</f>
        <v>The Biological Basis of Soil Fertility</v>
      </c>
      <c r="G133" s="28" t="str">
        <f ca="1">IFERROR(__xludf.DUMMYFUNCTION("""COMPUTED_VALUE"""),"JY")</f>
        <v>JY</v>
      </c>
      <c r="H133" s="30"/>
    </row>
    <row r="134" spans="2:8" ht="12.75">
      <c r="B134" s="41"/>
      <c r="C134" s="80"/>
      <c r="D134" s="81"/>
      <c r="E134" s="54"/>
      <c r="F134" s="29"/>
      <c r="G134" s="71"/>
      <c r="H134" s="71"/>
    </row>
    <row r="135" spans="2:8" ht="12.75">
      <c r="B135" s="41"/>
      <c r="C135" s="135"/>
      <c r="D135" s="59"/>
      <c r="E135" s="222"/>
      <c r="F135" s="249" t="str">
        <f ca="1">IFERROR(__xludf.DUMMYFUNCTION("""COMPUTED_VALUE"""),"Literature reading (Gliessman 24-26)")</f>
        <v>Literature reading (Gliessman 24-26)</v>
      </c>
      <c r="G135" s="20"/>
      <c r="H135" s="94"/>
    </row>
    <row r="136" spans="2:8" ht="12.75">
      <c r="B136" s="41"/>
      <c r="C136" s="218"/>
      <c r="D136" s="105"/>
      <c r="E136" s="76" t="str">
        <f ca="1">IFERROR(__xludf.DUMMYFUNCTION("""COMPUTED_VALUE"""),"9.45-10.15")</f>
        <v>9.45-10.15</v>
      </c>
      <c r="F136" s="147" t="str">
        <f ca="1">IFERROR(__xludf.DUMMYFUNCTION("""COMPUTED_VALUE"""),"AE representant, Q &amp; A preparation for tomorrow, intro in course in Urban ecology ")</f>
        <v xml:space="preserve">AE representant, Q &amp; A preparation for tomorrow, intro in course in Urban ecology </v>
      </c>
      <c r="G136" s="106" t="str">
        <f ca="1">IFERROR(__xludf.DUMMYFUNCTION("""COMPUTED_VALUE"""),"ÅL")</f>
        <v>ÅL</v>
      </c>
      <c r="H136" s="250" t="str">
        <f ca="1">IFERROR(__xludf.DUMMYFUNCTION("""COMPUTED_VALUE"""),"Västan")</f>
        <v>Västan</v>
      </c>
    </row>
    <row r="137" spans="2:8" ht="12.75">
      <c r="B137" s="41"/>
      <c r="C137" s="10">
        <f ca="1">IFERROR(__xludf.DUMMYFUNCTION("""COMPUTED_VALUE"""),45574)</f>
        <v>45574</v>
      </c>
      <c r="D137" s="28" t="str">
        <f ca="1">IFERROR(__xludf.DUMMYFUNCTION("""COMPUTED_VALUE"""),"Wednesday")</f>
        <v>Wednesday</v>
      </c>
      <c r="E137" s="25" t="str">
        <f ca="1">IFERROR(__xludf.DUMMYFUNCTION("""COMPUTED_VALUE"""),"10.30-12.15")</f>
        <v>10.30-12.15</v>
      </c>
      <c r="F137" s="251" t="str">
        <f ca="1">IFERROR(__xludf.DUMMYFUNCTION("""COMPUTED_VALUE"""),"example of a MSc in agroecology")</f>
        <v>example of a MSc in agroecology</v>
      </c>
      <c r="G137" s="29"/>
      <c r="H137" s="100"/>
    </row>
    <row r="138" spans="2:8" ht="12.75">
      <c r="B138" s="41"/>
      <c r="C138" s="80"/>
      <c r="D138" s="81"/>
      <c r="E138" s="231"/>
      <c r="F138" s="71"/>
      <c r="G138" s="29"/>
      <c r="H138" s="232"/>
    </row>
    <row r="139" spans="2:8" ht="12.75">
      <c r="B139" s="41"/>
      <c r="C139" s="80"/>
      <c r="D139" s="81"/>
      <c r="E139" s="252"/>
      <c r="F139" s="126"/>
      <c r="G139" s="29"/>
      <c r="H139" s="232"/>
    </row>
    <row r="140" spans="2:8" ht="12.75">
      <c r="B140" s="41"/>
      <c r="C140" s="234"/>
      <c r="D140" s="253"/>
      <c r="E140" s="97" t="str">
        <f ca="1">IFERROR(__xludf.DUMMYFUNCTION("""COMPUTED_VALUE"""),"10.15-12.00")</f>
        <v>10.15-12.00</v>
      </c>
      <c r="F140" s="254" t="str">
        <f ca="1">IFERROR(__xludf.DUMMYFUNCTION("""COMPUTED_VALUE"""),"ALNARPSFARMEN")</f>
        <v>ALNARPSFARMEN</v>
      </c>
      <c r="G140" s="229"/>
      <c r="H140" s="118"/>
    </row>
    <row r="141" spans="2:8" ht="12.75">
      <c r="B141" s="41"/>
      <c r="C141" s="10">
        <f ca="1">IFERROR(__xludf.DUMMYFUNCTION("""COMPUTED_VALUE"""),45575)</f>
        <v>45575</v>
      </c>
      <c r="D141" s="28" t="str">
        <f ca="1">IFERROR(__xludf.DUMMYFUNCTION("""COMPUTED_VALUE"""),"Thursday")</f>
        <v>Thursday</v>
      </c>
      <c r="E141" s="105"/>
      <c r="F141" s="2"/>
      <c r="G141" s="165"/>
      <c r="H141" s="71"/>
    </row>
    <row r="142" spans="2:8" ht="12.75">
      <c r="B142" s="15"/>
      <c r="C142" s="146"/>
      <c r="D142" s="127"/>
      <c r="E142" s="57"/>
      <c r="F142" s="254" t="str">
        <f ca="1">IFERROR(__xludf.DUMMYFUNCTION("""COMPUTED_VALUE"""),"ALNARPSFARMEN prepare presentation")</f>
        <v>ALNARPSFARMEN prepare presentation</v>
      </c>
      <c r="G142" s="255"/>
      <c r="H142" s="256"/>
    </row>
    <row r="143" spans="2:8" ht="12.75">
      <c r="B143" s="41"/>
      <c r="C143" s="257"/>
      <c r="D143" s="61"/>
      <c r="E143" s="258" t="str">
        <f ca="1">IFERROR(__xludf.DUMMYFUNCTION("""COMPUTED_VALUE"""),"09.15 - 12.00")</f>
        <v>09.15 - 12.00</v>
      </c>
      <c r="F143" s="97" t="str">
        <f ca="1">IFERROR(__xludf.DUMMYFUNCTION("""COMPUTED_VALUE"""),"Soils, pathogens and diseases, + intro in course in IPM (Sept 2024)")</f>
        <v>Soils, pathogens and diseases, + intro in course in IPM (Sept 2024)</v>
      </c>
      <c r="G143" s="259"/>
      <c r="H143" s="151" t="str">
        <f ca="1">IFERROR(__xludf.DUMMYFUNCTION("""COMPUTED_VALUE"""),"Articum 2")</f>
        <v>Articum 2</v>
      </c>
    </row>
    <row r="144" spans="2:8" ht="12.75">
      <c r="B144" s="41"/>
      <c r="C144" s="10">
        <f ca="1">IFERROR(__xludf.DUMMYFUNCTION("""COMPUTED_VALUE"""),45576)</f>
        <v>45576</v>
      </c>
      <c r="D144" s="28" t="str">
        <f ca="1">IFERROR(__xludf.DUMMYFUNCTION("""COMPUTED_VALUE"""),"Friday")</f>
        <v>Friday</v>
      </c>
      <c r="E144" s="33" t="str">
        <f ca="1">IFERROR(__xludf.DUMMYFUNCTION("""COMPUTED_VALUE"""),"13.15-17.00")</f>
        <v>13.15-17.00</v>
      </c>
      <c r="F144" s="260" t="str">
        <f ca="1">IFERROR(__xludf.DUMMYFUNCTION("""COMPUTED_VALUE"""),"ALNARPSFARMEN: presentations")</f>
        <v>ALNARPSFARMEN: presentations</v>
      </c>
      <c r="G144" s="127"/>
      <c r="H144" s="99" t="str">
        <f ca="1">IFERROR(__xludf.DUMMYFUNCTION("""COMPUTED_VALUE"""),"Articum 2")</f>
        <v>Articum 2</v>
      </c>
    </row>
    <row r="145" spans="2:8" ht="12.75">
      <c r="B145" s="261"/>
      <c r="C145" s="176"/>
      <c r="D145" s="59"/>
      <c r="E145" s="252"/>
      <c r="F145" s="262" t="str">
        <f ca="1">IFERROR(__xludf.DUMMYFUNCTION("""COMPUTED_VALUE"""),"Literature and farm comparison seminar preparations")</f>
        <v>Literature and farm comparison seminar preparations</v>
      </c>
      <c r="G145" s="47"/>
      <c r="H145" s="20"/>
    </row>
    <row r="146" spans="2:8" ht="12.75">
      <c r="B146" s="2"/>
      <c r="C146" s="2"/>
      <c r="D146" s="2"/>
      <c r="E146" s="2"/>
      <c r="F146" s="2"/>
      <c r="G146" s="2"/>
      <c r="H146" s="2"/>
    </row>
    <row r="147" spans="2:8" ht="12.75">
      <c r="B147" s="2"/>
      <c r="C147" s="2"/>
      <c r="D147" s="2"/>
      <c r="E147" s="2"/>
      <c r="F147" s="84" t="str">
        <f ca="1">IFERROR(__xludf.DUMMYFUNCTION("""COMPUTED_VALUE"""),"prepare readings literature seminars")</f>
        <v>prepare readings literature seminars</v>
      </c>
      <c r="G147" s="2"/>
      <c r="H147" s="2"/>
    </row>
    <row r="148" spans="2:8" ht="12.75">
      <c r="B148" s="7" t="str">
        <f ca="1">IFERROR(__xludf.DUMMYFUNCTION("""COMPUTED_VALUE"""),"Week")</f>
        <v>Week</v>
      </c>
      <c r="C148" s="73" t="str">
        <f ca="1">IFERROR(__xludf.DUMMYFUNCTION("""COMPUTED_VALUE"""),"Date")</f>
        <v>Date</v>
      </c>
      <c r="D148" s="7" t="str">
        <f ca="1">IFERROR(__xludf.DUMMYFUNCTION("""COMPUTED_VALUE"""),"Day")</f>
        <v>Day</v>
      </c>
      <c r="E148" s="7" t="str">
        <f ca="1">IFERROR(__xludf.DUMMYFUNCTION("""COMPUTED_VALUE"""),"Time")</f>
        <v>Time</v>
      </c>
      <c r="F148" s="8"/>
      <c r="G148" s="7" t="str">
        <f ca="1">IFERROR(__xludf.DUMMYFUNCTION("""COMPUTED_VALUE"""),"Teacher")</f>
        <v>Teacher</v>
      </c>
      <c r="H148" s="7" t="str">
        <f ca="1">IFERROR(__xludf.DUMMYFUNCTION("""COMPUTED_VALUE"""),"Place ")</f>
        <v xml:space="preserve">Place </v>
      </c>
    </row>
    <row r="149" spans="2:8" ht="12.75">
      <c r="B149" s="74"/>
      <c r="C149" s="75"/>
      <c r="D149" s="61"/>
      <c r="E149" s="173" t="str">
        <f ca="1">IFERROR(__xludf.DUMMYFUNCTION("""COMPUTED_VALUE"""),"9.15 - 12.00")</f>
        <v>9.15 - 12.00</v>
      </c>
      <c r="F149" s="263" t="str">
        <f ca="1">IFERROR(__xludf.DUMMYFUNCTION("""COMPUTED_VALUE"""),"Assignment 4: Literature seminar 1 &amp; 2. + Upload material as one file to canvas")</f>
        <v>Assignment 4: Literature seminar 1 &amp; 2. + Upload material as one file to canvas</v>
      </c>
      <c r="G149" s="264"/>
      <c r="H149" s="265" t="str">
        <f ca="1">IFERROR(__xludf.DUMMYFUNCTION("""COMPUTED_VALUE"""),"Crafoord")</f>
        <v>Crafoord</v>
      </c>
    </row>
    <row r="150" spans="2:8" ht="12.75">
      <c r="B150" s="77">
        <f ca="1">IFERROR(__xludf.DUMMYFUNCTION("""COMPUTED_VALUE"""),41)</f>
        <v>41</v>
      </c>
      <c r="C150" s="10">
        <f ca="1">IFERROR(__xludf.DUMMYFUNCTION("""COMPUTED_VALUE"""),45579)</f>
        <v>45579</v>
      </c>
      <c r="D150" s="78" t="str">
        <f ca="1">IFERROR(__xludf.DUMMYFUNCTION("""COMPUTED_VALUE"""),"Monday")</f>
        <v>Monday</v>
      </c>
      <c r="E150" s="29"/>
      <c r="F150" s="2"/>
      <c r="G150" s="95"/>
      <c r="H150" s="95"/>
    </row>
    <row r="151" spans="2:8" ht="12.75">
      <c r="B151" s="41"/>
      <c r="C151" s="218"/>
      <c r="D151" s="245"/>
      <c r="E151" s="24" t="str">
        <f ca="1">IFERROR(__xludf.DUMMYFUNCTION("""COMPUTED_VALUE"""),"13.15-16.00")</f>
        <v>13.15-16.00</v>
      </c>
      <c r="F151" s="91" t="str">
        <f ca="1">IFERROR(__xludf.DUMMYFUNCTION("""COMPUTED_VALUE"""),"Green Innovation Park, Business model canvas - plan your future life and impacts, Venture labs")</f>
        <v>Green Innovation Park, Business model canvas - plan your future life and impacts, Venture labs</v>
      </c>
      <c r="G151" s="266" t="str">
        <f ca="1">IFERROR(__xludf.DUMMYFUNCTION("""COMPUTED_VALUE"""),"CvdK")</f>
        <v>CvdK</v>
      </c>
      <c r="H151" s="267" t="str">
        <f ca="1">IFERROR(__xludf.DUMMYFUNCTION("""COMPUTED_VALUE"""),"Articum 2")</f>
        <v>Articum 2</v>
      </c>
    </row>
    <row r="152" spans="2:8" ht="12.75">
      <c r="B152" s="41"/>
      <c r="C152" s="75"/>
      <c r="D152" s="61"/>
      <c r="E152" s="173" t="str">
        <f ca="1">IFERROR(__xludf.DUMMYFUNCTION("""COMPUTED_VALUE"""),"9.15 - 12.00")</f>
        <v>9.15 - 12.00</v>
      </c>
      <c r="F152" s="44" t="str">
        <f ca="1">IFERROR(__xludf.DUMMYFUNCTION("""COMPUTED_VALUE"""),"assignment 4: continued")</f>
        <v>assignment 4: continued</v>
      </c>
      <c r="G152" s="268" t="str">
        <f ca="1">IFERROR(__xludf.DUMMYFUNCTION("""COMPUTED_VALUE"""),"TD/NÖ/CK")</f>
        <v>TD/NÖ/CK</v>
      </c>
      <c r="H152" s="269" t="str">
        <f ca="1">IFERROR(__xludf.DUMMYFUNCTION("""COMPUTED_VALUE"""),"Crafoord")</f>
        <v>Crafoord</v>
      </c>
    </row>
    <row r="153" spans="2:8" ht="12.75">
      <c r="B153" s="41"/>
      <c r="C153" s="10">
        <f ca="1">IFERROR(__xludf.DUMMYFUNCTION("""COMPUTED_VALUE"""),45580)</f>
        <v>45580</v>
      </c>
      <c r="D153" s="28" t="str">
        <f ca="1">IFERROR(__xludf.DUMMYFUNCTION("""COMPUTED_VALUE"""),"Tuesday ")</f>
        <v xml:space="preserve">Tuesday </v>
      </c>
      <c r="E153" s="233"/>
      <c r="F153" s="58"/>
      <c r="G153" s="55"/>
      <c r="H153" s="117"/>
    </row>
    <row r="154" spans="2:8" ht="12.75">
      <c r="B154" s="41"/>
      <c r="C154" s="51"/>
      <c r="D154" s="127"/>
      <c r="E154" s="33" t="str">
        <f ca="1">IFERROR(__xludf.DUMMYFUNCTION("""COMPUTED_VALUE"""),"13.15-17:00")</f>
        <v>13.15-17:00</v>
      </c>
      <c r="F154" s="91" t="str">
        <f ca="1">IFERROR(__xludf.DUMMYFUNCTION("""COMPUTED_VALUE"""),"Q &amp; A Agroecology, Master thesis in Agroecology, example MSc thesis")</f>
        <v>Q &amp; A Agroecology, Master thesis in Agroecology, example MSc thesis</v>
      </c>
      <c r="G154" s="45" t="str">
        <f ca="1">IFERROR(__xludf.DUMMYFUNCTION("""COMPUTED_VALUE"""),"TD, RC, GC")</f>
        <v>TD, RC, GC</v>
      </c>
      <c r="H154" s="70" t="str">
        <f ca="1">IFERROR(__xludf.DUMMYFUNCTION("""COMPUTED_VALUE"""),"Articum 2")</f>
        <v>Articum 2</v>
      </c>
    </row>
    <row r="155" spans="2:8" ht="12.75">
      <c r="B155" s="41"/>
      <c r="C155" s="75"/>
      <c r="D155" s="61"/>
      <c r="E155" s="12" t="str">
        <f ca="1">IFERROR(__xludf.DUMMYFUNCTION("""COMPUTED_VALUE"""),"09:15-12:00")</f>
        <v>09:15-12:00</v>
      </c>
      <c r="F155" s="44" t="str">
        <f ca="1">IFERROR(__xludf.DUMMYFUNCTION("""COMPUTED_VALUE"""),"Assignment 4: continued")</f>
        <v>Assignment 4: continued</v>
      </c>
      <c r="G155" s="270" t="str">
        <f ca="1">IFERROR(__xludf.DUMMYFUNCTION("""COMPUTED_VALUE"""),"IS, TD, RC")</f>
        <v>IS, TD, RC</v>
      </c>
      <c r="H155" s="271" t="str">
        <f ca="1">IFERROR(__xludf.DUMMYFUNCTION("""COMPUTED_VALUE"""),"Articum 2")</f>
        <v>Articum 2</v>
      </c>
    </row>
    <row r="156" spans="2:8" ht="12.75">
      <c r="B156" s="41"/>
      <c r="C156" s="10">
        <f ca="1">IFERROR(__xludf.DUMMYFUNCTION("""COMPUTED_VALUE"""),45581)</f>
        <v>45581</v>
      </c>
      <c r="D156" s="28" t="str">
        <f ca="1">IFERROR(__xludf.DUMMYFUNCTION("""COMPUTED_VALUE"""),"Wednesday")</f>
        <v>Wednesday</v>
      </c>
      <c r="E156" s="29"/>
      <c r="F156" s="139" t="str">
        <f ca="1">IFERROR(__xludf.DUMMYFUNCTION("""COMPUTED_VALUE"""),"Explanation of final assignment + english directions")</f>
        <v>Explanation of final assignment + english directions</v>
      </c>
      <c r="G156" s="30"/>
      <c r="H156" s="131"/>
    </row>
    <row r="157" spans="2:8" ht="12.75">
      <c r="B157" s="41"/>
      <c r="C157" s="51"/>
      <c r="D157" s="127"/>
      <c r="E157" s="29"/>
      <c r="F157" s="231"/>
      <c r="G157" s="20"/>
      <c r="H157" s="94"/>
    </row>
    <row r="158" spans="2:8" ht="12.75">
      <c r="B158" s="41"/>
      <c r="C158" s="75"/>
      <c r="D158" s="226"/>
      <c r="E158" s="173" t="str">
        <f ca="1">IFERROR(__xludf.DUMMYFUNCTION("""COMPUTED_VALUE"""),"9.15 - 12.00")</f>
        <v>9.15 - 12.00</v>
      </c>
      <c r="F158" s="97" t="str">
        <f ca="1">IFERROR(__xludf.DUMMYFUNCTION("""COMPUTED_VALUE"""),"assignment 5")</f>
        <v>assignment 5</v>
      </c>
      <c r="G158" s="272"/>
      <c r="H158" s="226"/>
    </row>
    <row r="159" spans="2:8" ht="12.75">
      <c r="B159" s="41"/>
      <c r="C159" s="10">
        <f ca="1">IFERROR(__xludf.DUMMYFUNCTION("""COMPUTED_VALUE"""),45582)</f>
        <v>45582</v>
      </c>
      <c r="D159" s="99" t="str">
        <f ca="1">IFERROR(__xludf.DUMMYFUNCTION("""COMPUTED_VALUE"""),"Thursday")</f>
        <v>Thursday</v>
      </c>
      <c r="E159" s="273"/>
      <c r="F159" s="29"/>
      <c r="G159" s="274"/>
      <c r="H159" s="30"/>
    </row>
    <row r="160" spans="2:8" ht="12.75">
      <c r="B160" s="41"/>
      <c r="C160" s="51"/>
      <c r="D160" s="89"/>
      <c r="E160" s="90" t="str">
        <f ca="1">IFERROR(__xludf.DUMMYFUNCTION("""COMPUTED_VALUE"""),"13.15-17.00")</f>
        <v>13.15-17.00</v>
      </c>
      <c r="F160" s="239" t="str">
        <f ca="1">IFERROR(__xludf.DUMMYFUNCTION("""COMPUTED_VALUE"""),"assignment 5")</f>
        <v>assignment 5</v>
      </c>
      <c r="G160" s="156"/>
      <c r="H160" s="40"/>
    </row>
    <row r="161" spans="2:8" ht="12.75">
      <c r="B161" s="41"/>
      <c r="C161" s="75"/>
      <c r="D161" s="61"/>
      <c r="E161" s="138" t="str">
        <f ca="1">IFERROR(__xludf.DUMMYFUNCTION("""COMPUTED_VALUE"""),"10.00-12.00")</f>
        <v>10.00-12.00</v>
      </c>
      <c r="F161" s="97" t="str">
        <f ca="1">IFERROR(__xludf.DUMMYFUNCTION("""COMPUTED_VALUE"""),"assignment 5")</f>
        <v>assignment 5</v>
      </c>
      <c r="G161" s="275" t="str">
        <f ca="1">IFERROR(__xludf.DUMMYFUNCTION("""COMPUTED_VALUE"""),"TD")</f>
        <v>TD</v>
      </c>
      <c r="H161" s="61"/>
    </row>
    <row r="162" spans="2:8" ht="12.75">
      <c r="B162" s="41"/>
      <c r="C162" s="10">
        <f ca="1">IFERROR(__xludf.DUMMYFUNCTION("""COMPUTED_VALUE"""),45583)</f>
        <v>45583</v>
      </c>
      <c r="D162" s="78" t="str">
        <f ca="1">IFERROR(__xludf.DUMMYFUNCTION("""COMPUTED_VALUE"""),"Friday")</f>
        <v>Friday</v>
      </c>
      <c r="E162" s="81"/>
      <c r="F162" s="233"/>
      <c r="G162" s="127"/>
      <c r="H162" s="30"/>
    </row>
    <row r="163" spans="2:8" ht="12.75">
      <c r="B163" s="261"/>
      <c r="C163" s="101"/>
      <c r="D163" s="47"/>
      <c r="E163" s="94"/>
      <c r="F163" s="114" t="str">
        <f ca="1">IFERROR(__xludf.DUMMYFUNCTION("""COMPUTED_VALUE"""),"assignment 5")</f>
        <v>assignment 5</v>
      </c>
      <c r="G163" s="276"/>
      <c r="H163" s="40"/>
    </row>
    <row r="164" spans="2:8" ht="12.75">
      <c r="B164" s="2"/>
      <c r="C164" s="2"/>
      <c r="D164" s="2"/>
      <c r="E164" s="2"/>
      <c r="F164" s="2"/>
      <c r="G164" s="2"/>
      <c r="H164" s="71"/>
    </row>
    <row r="165" spans="2:8" ht="12.75">
      <c r="B165" s="2"/>
      <c r="C165" s="2"/>
      <c r="D165" s="2"/>
      <c r="E165" s="2"/>
      <c r="F165" s="2"/>
      <c r="G165" s="2"/>
      <c r="H165" s="71"/>
    </row>
    <row r="166" spans="2:8" ht="12.75">
      <c r="B166" s="7" t="str">
        <f ca="1">IFERROR(__xludf.DUMMYFUNCTION("""COMPUTED_VALUE"""),"Week")</f>
        <v>Week</v>
      </c>
      <c r="C166" s="73" t="str">
        <f ca="1">IFERROR(__xludf.DUMMYFUNCTION("""COMPUTED_VALUE"""),"Date")</f>
        <v>Date</v>
      </c>
      <c r="D166" s="7" t="str">
        <f ca="1">IFERROR(__xludf.DUMMYFUNCTION("""COMPUTED_VALUE"""),"Day")</f>
        <v>Day</v>
      </c>
      <c r="E166" s="7" t="str">
        <f ca="1">IFERROR(__xludf.DUMMYFUNCTION("""COMPUTED_VALUE"""),"Time")</f>
        <v>Time</v>
      </c>
      <c r="F166" s="8"/>
      <c r="G166" s="7" t="str">
        <f ca="1">IFERROR(__xludf.DUMMYFUNCTION("""COMPUTED_VALUE"""),"Teacher")</f>
        <v>Teacher</v>
      </c>
      <c r="H166" s="7" t="str">
        <f ca="1">IFERROR(__xludf.DUMMYFUNCTION("""COMPUTED_VALUE"""),"Place ")</f>
        <v xml:space="preserve">Place </v>
      </c>
    </row>
    <row r="167" spans="2:8" ht="12.75">
      <c r="B167" s="277"/>
      <c r="C167" s="278" t="str">
        <f ca="1">IFERROR(__xludf.DUMMYFUNCTION("""COMPUTED_VALUE"""),"21-25")</f>
        <v>21-25</v>
      </c>
      <c r="D167" s="279" t="str">
        <f ca="1">IFERROR(__xludf.DUMMYFUNCTION("""COMPUTED_VALUE"""),"Mo.Fri")</f>
        <v>Mo.Fri</v>
      </c>
      <c r="E167" s="280"/>
      <c r="F167" s="76" t="str">
        <f ca="1">IFERROR(__xludf.DUMMYFUNCTION("""COMPUTED_VALUE"""),"Assignment 5: Individual assignment. Deadline Friday night 24:00")</f>
        <v>Assignment 5: Individual assignment. Deadline Friday night 24:00</v>
      </c>
      <c r="G167" s="11" t="str">
        <f ca="1">IFERROR(__xludf.DUMMYFUNCTION("""COMPUTED_VALUE"""),"-")</f>
        <v>-</v>
      </c>
      <c r="H167" s="61"/>
    </row>
    <row r="168" spans="2:8" ht="12.75">
      <c r="B168" s="125">
        <f ca="1">IFERROR(__xludf.DUMMYFUNCTION("""COMPUTED_VALUE"""),42)</f>
        <v>42</v>
      </c>
      <c r="C168" s="281">
        <f ca="1">IFERROR(__xludf.DUMMYFUNCTION("""COMPUTED_VALUE"""),45590)</f>
        <v>45590</v>
      </c>
      <c r="D168" s="3" t="str">
        <f ca="1">IFERROR(__xludf.DUMMYFUNCTION("""COMPUTED_VALUE"""),"Thu")</f>
        <v>Thu</v>
      </c>
      <c r="E168" s="282" t="str">
        <f ca="1">IFERROR(__xludf.DUMMYFUNCTION("""COMPUTED_VALUE"""),"23:59:00 PM")</f>
        <v>23:59:00 PM</v>
      </c>
      <c r="F168" s="283" t="str">
        <f ca="1">IFERROR(__xludf.DUMMYFUNCTION("""COMPUTED_VALUE"""),"Individual assignment. Uppload your individual 5th assignment")</f>
        <v>Individual assignment. Uppload your individual 5th assignment</v>
      </c>
      <c r="G168" s="284" t="str">
        <f ca="1">IFERROR(__xludf.DUMMYFUNCTION("""COMPUTED_VALUE"""),"-")</f>
        <v>-</v>
      </c>
      <c r="H168" s="226"/>
    </row>
    <row r="169" spans="2:8" ht="12.75">
      <c r="B169" s="15"/>
      <c r="C169" s="149"/>
      <c r="D169" s="127"/>
      <c r="E169" s="285"/>
      <c r="F169" s="286" t="str">
        <f ca="1">IFERROR(__xludf.DUMMYFUNCTION("""COMPUTED_VALUE"""),"to your Canvas room latest 23:59 pm - hard deadline!")</f>
        <v>to your Canvas room latest 23:59 pm - hard deadline!</v>
      </c>
      <c r="G169" s="95"/>
      <c r="H169" s="95"/>
    </row>
    <row r="170" spans="2:8" ht="12.75">
      <c r="B170" s="41"/>
      <c r="C170" s="218"/>
      <c r="D170" s="127"/>
      <c r="E170" s="285"/>
      <c r="F170" s="287" t="str">
        <f ca="1">IFERROR(__xludf.DUMMYFUNCTION("""COMPUTED_VALUE"""),"Check in advance how to upload your assay to avoid delays that may compromise")</f>
        <v>Check in advance how to upload your assay to avoid delays that may compromise</v>
      </c>
      <c r="G170" s="95"/>
      <c r="H170" s="95"/>
    </row>
    <row r="171" spans="2:8" ht="12.75">
      <c r="B171" s="261"/>
      <c r="C171" s="46"/>
      <c r="D171" s="47"/>
      <c r="E171" s="145"/>
      <c r="F171" s="288" t="str">
        <f ca="1">IFERROR(__xludf.DUMMYFUNCTION("""COMPUTED_VALUE"""),"your final mark.")</f>
        <v>your final mark.</v>
      </c>
      <c r="G171" s="40"/>
      <c r="H171" s="40"/>
    </row>
    <row r="172" spans="2:8" ht="12.75">
      <c r="B172" s="2"/>
      <c r="C172" s="2"/>
      <c r="D172" s="2"/>
      <c r="E172" s="2"/>
      <c r="F172" s="2"/>
      <c r="G172" s="2"/>
      <c r="H172" s="71"/>
    </row>
    <row r="173" spans="2:8" ht="12.75">
      <c r="B173" s="2"/>
      <c r="C173" s="2"/>
      <c r="D173" s="2"/>
      <c r="E173" s="2"/>
      <c r="F173" s="2"/>
      <c r="G173" s="2"/>
      <c r="H173" s="71"/>
    </row>
    <row r="174" spans="2:8" ht="12.75">
      <c r="B174" s="7" t="str">
        <f ca="1">IFERROR(__xludf.DUMMYFUNCTION("""COMPUTED_VALUE"""),"Week")</f>
        <v>Week</v>
      </c>
      <c r="C174" s="73" t="str">
        <f ca="1">IFERROR(__xludf.DUMMYFUNCTION("""COMPUTED_VALUE"""),"Date")</f>
        <v>Date</v>
      </c>
      <c r="D174" s="7" t="str">
        <f ca="1">IFERROR(__xludf.DUMMYFUNCTION("""COMPUTED_VALUE"""),"Day")</f>
        <v>Day</v>
      </c>
      <c r="E174" s="7" t="str">
        <f ca="1">IFERROR(__xludf.DUMMYFUNCTION("""COMPUTED_VALUE"""),"Time")</f>
        <v>Time</v>
      </c>
      <c r="F174" s="8"/>
      <c r="G174" s="289" t="str">
        <f ca="1">IFERROR(__xludf.DUMMYFUNCTION("""COMPUTED_VALUE"""),"Teacher")</f>
        <v>Teacher</v>
      </c>
      <c r="H174" s="289" t="str">
        <f ca="1">IFERROR(__xludf.DUMMYFUNCTION("""COMPUTED_VALUE"""),"Place ")</f>
        <v xml:space="preserve">Place </v>
      </c>
    </row>
    <row r="175" spans="2:8" ht="12.75">
      <c r="B175" s="74"/>
      <c r="C175" s="290" t="str">
        <f ca="1">IFERROR(__xludf.DUMMYFUNCTION("""COMPUTED_VALUE"""),"26-29")</f>
        <v>26-29</v>
      </c>
      <c r="D175" s="61"/>
      <c r="E175" s="61"/>
      <c r="F175" s="291" t="str">
        <f ca="1">IFERROR(__xludf.DUMMYFUNCTION("""COMPUTED_VALUE"""),"Peer review of the opponent assignment and preparation of the presentation ")</f>
        <v xml:space="preserve">Peer review of the opponent assignment and preparation of the presentation </v>
      </c>
      <c r="G175" s="284" t="str">
        <f ca="1">IFERROR(__xludf.DUMMYFUNCTION("""COMPUTED_VALUE"""),"-")</f>
        <v>-</v>
      </c>
      <c r="H175" s="229"/>
    </row>
    <row r="176" spans="2:8" ht="12.75">
      <c r="B176" s="77">
        <f ca="1">IFERROR(__xludf.DUMMYFUNCTION("""COMPUTED_VALUE"""),43)</f>
        <v>43</v>
      </c>
      <c r="C176" s="292" t="str">
        <f ca="1">IFERROR(__xludf.DUMMYFUNCTION("""COMPUTED_VALUE"""),"28-29")</f>
        <v>28-29</v>
      </c>
      <c r="D176" s="293"/>
      <c r="E176" s="294"/>
      <c r="F176" s="295" t="str">
        <f ca="1">IFERROR(__xludf.DUMMYFUNCTION("""COMPUTED_VALUE"""),"oral exams, own preparation for 30th")</f>
        <v>oral exams, own preparation for 30th</v>
      </c>
      <c r="G176" s="235" t="str">
        <f ca="1">IFERROR(__xludf.DUMMYFUNCTION("""COMPUTED_VALUE"""),"TD")</f>
        <v>TD</v>
      </c>
      <c r="H176" s="229"/>
    </row>
    <row r="177" spans="2:8" ht="12.75">
      <c r="B177" s="41"/>
      <c r="C177" s="296" t="str">
        <f ca="1">IFERROR(__xludf.DUMMYFUNCTION("""COMPUTED_VALUE"""),"30")</f>
        <v>30</v>
      </c>
      <c r="D177" s="280"/>
      <c r="E177" s="297"/>
      <c r="F177" s="298" t="str">
        <f ca="1">IFERROR(__xludf.DUMMYFUNCTION("""COMPUTED_VALUE"""),"final presentations")</f>
        <v>final presentations</v>
      </c>
      <c r="G177" s="299" t="str">
        <f ca="1">IFERROR(__xludf.DUMMYFUNCTION("""COMPUTED_VALUE"""),"TD")</f>
        <v>TD</v>
      </c>
      <c r="H177" s="300"/>
    </row>
    <row r="178" spans="2:8" ht="12.75">
      <c r="B178" s="41"/>
      <c r="C178" s="290">
        <f ca="1">IFERROR(__xludf.DUMMYFUNCTION("""COMPUTED_VALUE"""),31)</f>
        <v>31</v>
      </c>
      <c r="D178" s="61"/>
      <c r="E178" s="301" t="str">
        <f ca="1">IFERROR(__xludf.DUMMYFUNCTION("""COMPUTED_VALUE"""),"morning")</f>
        <v>morning</v>
      </c>
      <c r="F178" s="283" t="str">
        <f ca="1">IFERROR(__xludf.DUMMYFUNCTION("""COMPUTED_VALUE"""),"final presentations")</f>
        <v>final presentations</v>
      </c>
      <c r="G178" s="284" t="str">
        <f ca="1">IFERROR(__xludf.DUMMYFUNCTION("""COMPUTED_VALUE"""),"TD")</f>
        <v>TD</v>
      </c>
      <c r="H178" s="95"/>
    </row>
    <row r="179" spans="2:8" ht="12.75">
      <c r="B179" s="261"/>
      <c r="C179" s="46"/>
      <c r="D179" s="47"/>
      <c r="E179" s="48" t="str">
        <f ca="1">IFERROR(__xludf.DUMMYFUNCTION("""COMPUTED_VALUE"""),"afternoon")</f>
        <v>afternoon</v>
      </c>
      <c r="F179" s="48" t="str">
        <f ca="1">IFERROR(__xludf.DUMMYFUNCTION("""COMPUTED_VALUE"""),"wrapup, cake, evaluation")</f>
        <v>wrapup, cake, evaluation</v>
      </c>
      <c r="G179" s="47"/>
      <c r="H179" s="47"/>
    </row>
    <row r="180" spans="2:8" ht="12.75">
      <c r="B180" s="2"/>
      <c r="C180" s="2"/>
      <c r="D180" s="2"/>
      <c r="E180" s="2"/>
      <c r="F180" s="2"/>
      <c r="G180" s="2"/>
      <c r="H180" s="2"/>
    </row>
    <row r="181" spans="2:8" ht="12.75">
      <c r="B181" s="2"/>
      <c r="C181" s="4" t="str">
        <f ca="1">IFERROR(__xludf.DUMMYFUNCTION("""COMPUTED_VALUE"""),"Lecturers")</f>
        <v>Lecturers</v>
      </c>
      <c r="D181" s="2"/>
      <c r="E181" s="2"/>
      <c r="F181" s="2"/>
      <c r="G181" s="2"/>
      <c r="H181" s="2"/>
    </row>
    <row r="182" spans="2:8" ht="12.75">
      <c r="B182" s="2"/>
      <c r="C182" s="3" t="str">
        <f ca="1">IFERROR(__xludf.DUMMYFUNCTION("""COMPUTED_VALUE"""),"Åsa Lankinen, SLU (ÅL)")</f>
        <v>Åsa Lankinen, SLU (ÅL)</v>
      </c>
      <c r="D182" s="2"/>
      <c r="E182" s="2"/>
      <c r="F182" s="2"/>
      <c r="G182" s="2"/>
      <c r="H182" s="2"/>
    </row>
    <row r="183" spans="2:8" ht="12.75">
      <c r="B183" s="2"/>
      <c r="C183" s="3" t="str">
        <f ca="1">IFERROR(__xludf.DUMMYFUNCTION("""COMPUTED_VALUE"""),"Anna Hofny-Collins (AH)")</f>
        <v>Anna Hofny-Collins (AH)</v>
      </c>
      <c r="D183" s="2"/>
      <c r="E183" s="2"/>
      <c r="F183" s="2"/>
      <c r="G183" s="2"/>
      <c r="H183" s="2"/>
    </row>
    <row r="184" spans="2:8" ht="12.75">
      <c r="B184" s="2"/>
      <c r="C184" s="3" t="str">
        <f ca="1">IFERROR(__xludf.DUMMYFUNCTION("""COMPUTED_VALUE"""),"Charles van de Kerkhof (CK)")</f>
        <v>Charles van de Kerkhof (CK)</v>
      </c>
      <c r="D184" s="2"/>
      <c r="E184" s="2"/>
      <c r="F184" s="2"/>
      <c r="G184" s="2"/>
      <c r="H184" s="2"/>
    </row>
    <row r="185" spans="2:8" ht="12.75">
      <c r="B185" s="2"/>
      <c r="C185" s="3" t="str">
        <f ca="1">IFERROR(__xludf.DUMMYFUNCTION("""COMPUTED_VALUE"""),"Dylan Wallman, SLU (DW)")</f>
        <v>Dylan Wallman, SLU (DW)</v>
      </c>
      <c r="D185" s="2"/>
      <c r="E185" s="2"/>
      <c r="F185" s="2"/>
      <c r="G185" s="2"/>
      <c r="H185" s="2"/>
    </row>
    <row r="186" spans="2:8" ht="12.75">
      <c r="B186" s="2"/>
      <c r="C186" s="3" t="str">
        <f ca="1">IFERROR(__xludf.DUMMYFUNCTION("""COMPUTED_VALUE"""),"Georg Carlsson, SLU (GC)")</f>
        <v>Georg Carlsson, SLU (GC)</v>
      </c>
      <c r="D186" s="2"/>
      <c r="E186" s="2"/>
      <c r="F186" s="2"/>
      <c r="G186" s="2"/>
      <c r="H186" s="2"/>
    </row>
    <row r="187" spans="2:8" ht="12.75">
      <c r="B187" s="2"/>
      <c r="C187" s="3" t="str">
        <f ca="1">IFERROR(__xludf.DUMMYFUNCTION("""COMPUTED_VALUE"""),"Ingrid Svedhem, student AE program (SLU)")</f>
        <v>Ingrid Svedhem, student AE program (SLU)</v>
      </c>
      <c r="D187" s="2"/>
      <c r="E187" s="2"/>
      <c r="F187" s="2"/>
      <c r="G187" s="2"/>
      <c r="H187" s="2"/>
    </row>
    <row r="188" spans="2:8" ht="12.75">
      <c r="B188" s="2"/>
      <c r="C188" s="3" t="str">
        <f ca="1">IFERROR(__xludf.DUMMYFUNCTION("""COMPUTED_VALUE"""),"Jonas Bååth (JB)")</f>
        <v>Jonas Bååth (JB)</v>
      </c>
      <c r="D188" s="2"/>
      <c r="E188" s="2"/>
      <c r="F188" s="2"/>
      <c r="G188" s="2"/>
      <c r="H188" s="2"/>
    </row>
    <row r="189" spans="2:8" ht="12.75">
      <c r="B189" s="2"/>
      <c r="C189" s="3" t="str">
        <f ca="1">IFERROR(__xludf.DUMMYFUNCTION("""COMPUTED_VALUE"""),"Jean Yong, SLU (JY)")</f>
        <v>Jean Yong, SLU (JY)</v>
      </c>
      <c r="D189" s="2"/>
      <c r="E189" s="2"/>
      <c r="F189" s="2"/>
      <c r="G189" s="2"/>
      <c r="H189" s="2"/>
    </row>
    <row r="190" spans="2:8" ht="12.75">
      <c r="B190" s="2"/>
      <c r="C190" s="3" t="str">
        <f ca="1">IFERROR(__xludf.DUMMYFUNCTION("""COMPUTED_VALUE"""),"Katarina Evengård (KE)")</f>
        <v>Katarina Evengård (KE)</v>
      </c>
      <c r="D190" s="2"/>
      <c r="E190" s="2"/>
      <c r="F190" s="2"/>
      <c r="G190" s="2"/>
      <c r="H190" s="2"/>
    </row>
    <row r="191" spans="2:8" ht="12.75">
      <c r="B191" s="2"/>
      <c r="C191" s="3" t="str">
        <f ca="1">IFERROR(__xludf.DUMMYFUNCTION("""COMPUTED_VALUE"""),"Laura Grenville-Briggs Didymus, SLU (LG)")</f>
        <v>Laura Grenville-Briggs Didymus, SLU (LG)</v>
      </c>
      <c r="D191" s="2"/>
      <c r="E191" s="2"/>
      <c r="F191" s="2"/>
      <c r="G191" s="2"/>
      <c r="H191" s="2"/>
    </row>
    <row r="192" spans="2:8" ht="12.75">
      <c r="B192" s="2"/>
      <c r="C192" s="3" t="str">
        <f ca="1">IFERROR(__xludf.DUMMYFUNCTION("""COMPUTED_VALUE"""),"Leif Bengtsson SLU (LB)")</f>
        <v>Leif Bengtsson SLU (LB)</v>
      </c>
      <c r="D192" s="2"/>
      <c r="E192" s="2"/>
      <c r="F192" s="2"/>
      <c r="G192" s="2"/>
      <c r="H192" s="2"/>
    </row>
    <row r="193" spans="2:8" ht="12.75">
      <c r="B193" s="2"/>
      <c r="C193" s="3" t="str">
        <f ca="1">IFERROR(__xludf.DUMMYFUNCTION("""COMPUTED_VALUE"""),"Marco Tasin, SLU (MT)")</f>
        <v>Marco Tasin, SLU (MT)</v>
      </c>
      <c r="D193" s="2"/>
      <c r="E193" s="2"/>
      <c r="F193" s="2"/>
      <c r="G193" s="2"/>
      <c r="H193" s="2"/>
    </row>
    <row r="194" spans="2:8" ht="12.75">
      <c r="B194" s="2"/>
      <c r="C194" s="3" t="str">
        <f ca="1">IFERROR(__xludf.DUMMYFUNCTION("""COMPUTED_VALUE"""),"Mattias Larsson, SLU (ML)")</f>
        <v>Mattias Larsson, SLU (ML)</v>
      </c>
      <c r="D194" s="2"/>
      <c r="E194" s="2"/>
      <c r="F194" s="2"/>
      <c r="G194" s="2"/>
      <c r="H194" s="2"/>
    </row>
    <row r="195" spans="2:8" ht="12.75">
      <c r="B195" s="2"/>
      <c r="C195" s="3" t="str">
        <f ca="1">IFERROR(__xludf.DUMMYFUNCTION("""COMPUTED_VALUE"""),"Maximilian Isendahl (MI)")</f>
        <v>Maximilian Isendahl (MI)</v>
      </c>
      <c r="D195" s="2"/>
      <c r="E195" s="2"/>
      <c r="F195" s="2"/>
      <c r="G195" s="2"/>
      <c r="H195" s="2"/>
    </row>
    <row r="196" spans="2:8" ht="12.75">
      <c r="B196" s="2"/>
      <c r="C196" s="3" t="str">
        <f ca="1">IFERROR(__xludf.DUMMYFUNCTION("""COMPUTED_VALUE"""),"Niclas Östlund (NÖ)")</f>
        <v>Niclas Östlund (NÖ)</v>
      </c>
      <c r="D196" s="2"/>
      <c r="E196" s="2"/>
      <c r="F196" s="2"/>
      <c r="G196" s="2"/>
      <c r="H196" s="2"/>
    </row>
    <row r="197" spans="2:8" ht="12.75">
      <c r="B197" s="2"/>
      <c r="C197" s="3" t="str">
        <f ca="1">IFERROR(__xludf.DUMMYFUNCTION("""COMPUTED_VALUE"""),"Paul Egan (PE)")</f>
        <v>Paul Egan (PE)</v>
      </c>
      <c r="D197" s="2"/>
      <c r="E197" s="2"/>
      <c r="F197" s="2"/>
      <c r="G197" s="2"/>
      <c r="H197" s="2"/>
    </row>
    <row r="198" spans="2:8" ht="12.75">
      <c r="B198" s="2"/>
      <c r="C198" s="3" t="str">
        <f ca="1">IFERROR(__xludf.DUMMYFUNCTION("""COMPUTED_VALUE"""),"Phil Howard (PH)")</f>
        <v>Phil Howard (PH)</v>
      </c>
      <c r="D198" s="2"/>
      <c r="E198" s="2"/>
      <c r="F198" s="2"/>
      <c r="G198" s="2"/>
      <c r="H198" s="2"/>
    </row>
    <row r="199" spans="2:8" ht="12.75">
      <c r="B199" s="2"/>
      <c r="C199" s="3" t="str">
        <f ca="1">IFERROR(__xludf.DUMMYFUNCTION("""COMPUTED_VALUE"""),"Raj Chongtham (RC)")</f>
        <v>Raj Chongtham (RC)</v>
      </c>
      <c r="D199" s="2"/>
      <c r="E199" s="2"/>
      <c r="F199" s="2"/>
      <c r="G199" s="2"/>
      <c r="H199" s="2"/>
    </row>
    <row r="200" spans="2:8" ht="12.75">
      <c r="B200" s="2"/>
      <c r="C200" s="3" t="str">
        <f ca="1">IFERROR(__xludf.DUMMYFUNCTION("""COMPUTED_VALUE"""),"Sharon Hill (SH)")</f>
        <v>Sharon Hill (SH)</v>
      </c>
      <c r="D200" s="2"/>
      <c r="E200" s="2"/>
      <c r="F200" s="2"/>
      <c r="G200" s="2"/>
      <c r="H200" s="2"/>
    </row>
    <row r="201" spans="2:8" ht="12.75">
      <c r="B201" s="2"/>
      <c r="C201" s="3" t="str">
        <f ca="1">IFERROR(__xludf.DUMMYFUNCTION("""COMPUTED_VALUE"""),"Siri Kjellberg, LU (SK)")</f>
        <v>Siri Kjellberg, LU (SK)</v>
      </c>
      <c r="D201" s="2"/>
      <c r="E201" s="2"/>
      <c r="F201" s="2"/>
      <c r="G201" s="2"/>
      <c r="H201" s="2"/>
    </row>
    <row r="202" spans="2:8" ht="12.75">
      <c r="B202" s="2"/>
      <c r="C202" s="3" t="str">
        <f ca="1">IFERROR(__xludf.DUMMYFUNCTION("""COMPUTED_VALUE"""),"Teun Dekker, SLU (TD)")</f>
        <v>Teun Dekker, SLU (TD)</v>
      </c>
      <c r="D202" s="2"/>
      <c r="E202" s="2"/>
      <c r="F202" s="2"/>
      <c r="G202" s="2"/>
      <c r="H202" s="2"/>
    </row>
    <row r="203" spans="2:8" ht="12.75">
      <c r="B203" s="2"/>
      <c r="C203" s="3" t="str">
        <f ca="1">IFERROR(__xludf.DUMMYFUNCTION("""COMPUTED_VALUE"""),"Tove Sundström (TS)")</f>
        <v>Tove Sundström (TS)</v>
      </c>
      <c r="D203" s="2"/>
      <c r="E203" s="2"/>
      <c r="F203" s="2"/>
      <c r="G203" s="2"/>
      <c r="H203" s="2"/>
    </row>
    <row r="204" spans="2:8" ht="12.75">
      <c r="B204" s="2"/>
      <c r="C204" s="3" t="str">
        <f ca="1">IFERROR(__xludf.DUMMYFUNCTION("""COMPUTED_VALUE"""),"Torbjörn Jonasson (TJ)")</f>
        <v>Torbjörn Jonasson (TJ)</v>
      </c>
      <c r="D204" s="2"/>
      <c r="E204" s="2"/>
      <c r="F204" s="2"/>
      <c r="G204" s="2"/>
      <c r="H204" s="2"/>
    </row>
    <row r="205" spans="2:8" ht="12.75">
      <c r="B205" s="2"/>
      <c r="C205" s="3" t="str">
        <f ca="1">IFERROR(__xludf.DUMMYFUNCTION("""COMPUTED_VALUE"""),"Weronika Swiergiel, (EXT) (WS)")</f>
        <v>Weronika Swiergiel, (EXT) (WS)</v>
      </c>
      <c r="D205" s="2"/>
      <c r="E205" s="2"/>
      <c r="F205" s="2"/>
      <c r="G205" s="2"/>
      <c r="H205" s="2"/>
    </row>
    <row r="206" spans="2:8" ht="12.75">
      <c r="B206" s="2"/>
      <c r="C206" s="302" t="str">
        <f ca="1">IFERROR(__xludf.DUMMYFUNCTION("""COMPUTED_VALUE"""),"Some guest lecturers may be added later")</f>
        <v>Some guest lecturers may be added later</v>
      </c>
      <c r="D206" s="2"/>
      <c r="E206" s="2"/>
      <c r="F206" s="2"/>
      <c r="G206" s="2"/>
      <c r="H206" s="2"/>
    </row>
    <row r="207" spans="2:8" ht="12.75">
      <c r="B207" s="2"/>
      <c r="C207" s="2"/>
      <c r="D207" s="2"/>
      <c r="E207" s="2"/>
      <c r="F207" s="2"/>
      <c r="G207" s="2"/>
      <c r="H207" s="2"/>
    </row>
    <row r="208" spans="2:8" ht="12.75">
      <c r="B208" s="2"/>
      <c r="C208" s="2"/>
      <c r="D208" s="2"/>
      <c r="E208" s="2"/>
      <c r="F208" s="2"/>
      <c r="G208" s="2"/>
      <c r="H208" s="2"/>
    </row>
    <row r="209" spans="2:8" ht="12.75">
      <c r="B209" s="2"/>
      <c r="C209" s="2"/>
      <c r="D209" s="2"/>
      <c r="E209" s="2"/>
      <c r="F209" s="2"/>
      <c r="G209" s="2"/>
      <c r="H209" s="2"/>
    </row>
    <row r="210" spans="2:8" ht="12.75">
      <c r="B210" s="2"/>
      <c r="C210" s="2"/>
      <c r="D210" s="2"/>
      <c r="E210" s="2"/>
      <c r="F210" s="2"/>
      <c r="G210" s="2"/>
      <c r="H210" s="2"/>
    </row>
    <row r="211" spans="2:8" ht="12.75">
      <c r="H211" s="303"/>
    </row>
    <row r="212" spans="2:8" ht="12.75">
      <c r="H212" s="303"/>
    </row>
    <row r="213" spans="2:8" ht="12.75">
      <c r="H213" s="303"/>
    </row>
    <row r="214" spans="2:8" ht="12.75">
      <c r="H214" s="303"/>
    </row>
    <row r="215" spans="2:8" ht="12.75">
      <c r="H215" s="303"/>
    </row>
    <row r="216" spans="2:8" ht="12.75">
      <c r="H216" s="303"/>
    </row>
    <row r="217" spans="2:8" ht="12.75">
      <c r="H217" s="303"/>
    </row>
    <row r="218" spans="2:8" ht="12.75">
      <c r="H218" s="303"/>
    </row>
    <row r="219" spans="2:8" ht="12.75">
      <c r="H219" s="303"/>
    </row>
    <row r="220" spans="2:8" ht="12.75">
      <c r="H220" s="303"/>
    </row>
    <row r="221" spans="2:8" ht="12.75">
      <c r="H221" s="303"/>
    </row>
    <row r="222" spans="2:8" ht="12.75">
      <c r="H222" s="303"/>
    </row>
    <row r="223" spans="2:8" ht="12.75">
      <c r="H223" s="303"/>
    </row>
    <row r="224" spans="2:8" ht="12.75">
      <c r="H224" s="303"/>
    </row>
    <row r="225" spans="8:8" ht="12.75">
      <c r="H225" s="303"/>
    </row>
    <row r="226" spans="8:8" ht="12.75">
      <c r="H226" s="303"/>
    </row>
    <row r="227" spans="8:8" ht="12.75">
      <c r="H227" s="303"/>
    </row>
    <row r="228" spans="8:8" ht="12.75">
      <c r="H228" s="303"/>
    </row>
    <row r="229" spans="8:8" ht="12.75">
      <c r="H229" s="303"/>
    </row>
    <row r="230" spans="8:8" ht="12.75">
      <c r="H230" s="303"/>
    </row>
    <row r="231" spans="8:8" ht="12.75">
      <c r="H231" s="303"/>
    </row>
    <row r="232" spans="8:8" ht="12.75">
      <c r="H232" s="303"/>
    </row>
    <row r="233" spans="8:8" ht="12.75">
      <c r="H233" s="303"/>
    </row>
    <row r="234" spans="8:8" ht="12.75">
      <c r="H234" s="303"/>
    </row>
    <row r="235" spans="8:8" ht="12.75">
      <c r="H235" s="303"/>
    </row>
    <row r="236" spans="8:8" ht="12.75">
      <c r="H236" s="303"/>
    </row>
    <row r="237" spans="8:8" ht="12.75">
      <c r="H237" s="303"/>
    </row>
    <row r="238" spans="8:8" ht="12.75">
      <c r="H238" s="303"/>
    </row>
    <row r="239" spans="8:8" ht="12.75">
      <c r="H239" s="303"/>
    </row>
    <row r="240" spans="8:8" ht="12.75">
      <c r="H240" s="303"/>
    </row>
    <row r="241" spans="8:8" ht="12.75">
      <c r="H241" s="303"/>
    </row>
    <row r="242" spans="8:8" ht="12.75">
      <c r="H242" s="303"/>
    </row>
    <row r="243" spans="8:8" ht="12.75">
      <c r="H243" s="303"/>
    </row>
    <row r="244" spans="8:8" ht="12.75">
      <c r="H244" s="303"/>
    </row>
    <row r="245" spans="8:8" ht="12.75">
      <c r="H245" s="303"/>
    </row>
    <row r="246" spans="8:8" ht="12.75">
      <c r="H246" s="303"/>
    </row>
    <row r="247" spans="8:8" ht="12.75">
      <c r="H247" s="303"/>
    </row>
    <row r="248" spans="8:8" ht="12.75">
      <c r="H248" s="303"/>
    </row>
    <row r="249" spans="8:8" ht="12.75">
      <c r="H249" s="303"/>
    </row>
    <row r="250" spans="8:8" ht="12.75">
      <c r="H250" s="303"/>
    </row>
    <row r="251" spans="8:8" ht="12.75">
      <c r="H251" s="303"/>
    </row>
    <row r="252" spans="8:8" ht="12.75">
      <c r="H252" s="303"/>
    </row>
    <row r="253" spans="8:8" ht="12.75">
      <c r="H253" s="303"/>
    </row>
    <row r="254" spans="8:8" ht="12.75">
      <c r="H254" s="303"/>
    </row>
    <row r="255" spans="8:8" ht="12.75">
      <c r="H255" s="303"/>
    </row>
    <row r="256" spans="8:8" ht="12.75">
      <c r="H256" s="303"/>
    </row>
    <row r="257" spans="8:8" ht="12.75">
      <c r="H257" s="303"/>
    </row>
    <row r="258" spans="8:8" ht="12.75">
      <c r="H258" s="303"/>
    </row>
    <row r="259" spans="8:8" ht="12.75">
      <c r="H259" s="303"/>
    </row>
    <row r="260" spans="8:8" ht="12.75">
      <c r="H260" s="303"/>
    </row>
    <row r="261" spans="8:8" ht="12.75">
      <c r="H261" s="303"/>
    </row>
    <row r="262" spans="8:8" ht="12.75">
      <c r="H262" s="303"/>
    </row>
    <row r="263" spans="8:8" ht="12.75">
      <c r="H263" s="303"/>
    </row>
    <row r="264" spans="8:8" ht="12.75">
      <c r="H264" s="303"/>
    </row>
    <row r="265" spans="8:8" ht="12.75">
      <c r="H265" s="303"/>
    </row>
    <row r="266" spans="8:8" ht="12.75">
      <c r="H266" s="303"/>
    </row>
    <row r="267" spans="8:8" ht="12.75">
      <c r="H267" s="303"/>
    </row>
    <row r="268" spans="8:8" ht="12.75">
      <c r="H268" s="303"/>
    </row>
    <row r="269" spans="8:8" ht="12.75">
      <c r="H269" s="303"/>
    </row>
    <row r="270" spans="8:8" ht="12.75">
      <c r="H270" s="303"/>
    </row>
    <row r="271" spans="8:8" ht="12.75">
      <c r="H271" s="303"/>
    </row>
    <row r="272" spans="8:8" ht="12.75">
      <c r="H272" s="303"/>
    </row>
    <row r="273" spans="8:8" ht="12.75">
      <c r="H273" s="303"/>
    </row>
    <row r="274" spans="8:8" ht="12.75">
      <c r="H274" s="303"/>
    </row>
    <row r="275" spans="8:8" ht="12.75">
      <c r="H275" s="303"/>
    </row>
    <row r="276" spans="8:8" ht="12.75">
      <c r="H276" s="303"/>
    </row>
    <row r="277" spans="8:8" ht="12.75">
      <c r="H277" s="303"/>
    </row>
    <row r="278" spans="8:8" ht="12.75">
      <c r="H278" s="303"/>
    </row>
    <row r="279" spans="8:8" ht="12.75">
      <c r="H279" s="303"/>
    </row>
    <row r="280" spans="8:8" ht="12.75">
      <c r="H280" s="303"/>
    </row>
    <row r="281" spans="8:8" ht="12.75">
      <c r="H281" s="303"/>
    </row>
    <row r="282" spans="8:8" ht="12.75">
      <c r="H282" s="303"/>
    </row>
    <row r="283" spans="8:8" ht="12.75">
      <c r="H283" s="303"/>
    </row>
    <row r="284" spans="8:8" ht="12.75">
      <c r="H284" s="303"/>
    </row>
    <row r="285" spans="8:8" ht="12.75">
      <c r="H285" s="303"/>
    </row>
    <row r="286" spans="8:8" ht="12.75">
      <c r="H286" s="303"/>
    </row>
    <row r="287" spans="8:8" ht="12.75">
      <c r="H287" s="303"/>
    </row>
    <row r="288" spans="8:8" ht="12.75">
      <c r="H288" s="303"/>
    </row>
    <row r="289" spans="8:8" ht="12.75">
      <c r="H289" s="303"/>
    </row>
    <row r="290" spans="8:8" ht="12.75">
      <c r="H290" s="303"/>
    </row>
    <row r="291" spans="8:8" ht="12.75">
      <c r="H291" s="303"/>
    </row>
    <row r="292" spans="8:8" ht="12.75">
      <c r="H292" s="303"/>
    </row>
    <row r="293" spans="8:8" ht="12.75">
      <c r="H293" s="303"/>
    </row>
    <row r="294" spans="8:8" ht="12.75">
      <c r="H294" s="303"/>
    </row>
    <row r="295" spans="8:8" ht="12.75">
      <c r="H295" s="303"/>
    </row>
    <row r="296" spans="8:8" ht="12.75">
      <c r="H296" s="303"/>
    </row>
    <row r="297" spans="8:8" ht="12.75">
      <c r="H297" s="303"/>
    </row>
    <row r="298" spans="8:8" ht="12.75">
      <c r="H298" s="303"/>
    </row>
    <row r="299" spans="8:8" ht="12.75">
      <c r="H299" s="303"/>
    </row>
    <row r="300" spans="8:8" ht="12.75">
      <c r="H300" s="303"/>
    </row>
    <row r="301" spans="8:8" ht="12.75">
      <c r="H301" s="303"/>
    </row>
    <row r="302" spans="8:8" ht="12.75">
      <c r="H302" s="303"/>
    </row>
    <row r="303" spans="8:8" ht="12.75">
      <c r="H303" s="303"/>
    </row>
    <row r="304" spans="8:8" ht="12.75">
      <c r="H304" s="303"/>
    </row>
    <row r="305" spans="8:8" ht="12.75">
      <c r="H305" s="303"/>
    </row>
    <row r="306" spans="8:8" ht="12.75">
      <c r="H306" s="303"/>
    </row>
    <row r="307" spans="8:8" ht="12.75">
      <c r="H307" s="303"/>
    </row>
    <row r="308" spans="8:8" ht="12.75">
      <c r="H308" s="303"/>
    </row>
    <row r="309" spans="8:8" ht="12.75">
      <c r="H309" s="303"/>
    </row>
    <row r="310" spans="8:8" ht="12.75">
      <c r="H310" s="303"/>
    </row>
    <row r="311" spans="8:8" ht="12.75">
      <c r="H311" s="303"/>
    </row>
    <row r="312" spans="8:8" ht="12.75">
      <c r="H312" s="303"/>
    </row>
    <row r="313" spans="8:8" ht="12.75">
      <c r="H313" s="303"/>
    </row>
    <row r="314" spans="8:8" ht="12.75">
      <c r="H314" s="303"/>
    </row>
    <row r="315" spans="8:8" ht="12.75">
      <c r="H315" s="303"/>
    </row>
    <row r="316" spans="8:8" ht="12.75">
      <c r="H316" s="303"/>
    </row>
    <row r="317" spans="8:8" ht="12.75">
      <c r="H317" s="303"/>
    </row>
    <row r="318" spans="8:8" ht="12.75">
      <c r="H318" s="303"/>
    </row>
    <row r="319" spans="8:8" ht="12.75">
      <c r="H319" s="303"/>
    </row>
    <row r="320" spans="8:8" ht="12.75">
      <c r="H320" s="303"/>
    </row>
    <row r="321" spans="8:8" ht="12.75">
      <c r="H321" s="303"/>
    </row>
    <row r="322" spans="8:8" ht="12.75">
      <c r="H322" s="303"/>
    </row>
    <row r="323" spans="8:8" ht="12.75">
      <c r="H323" s="303"/>
    </row>
    <row r="324" spans="8:8" ht="12.75">
      <c r="H324" s="303"/>
    </row>
    <row r="325" spans="8:8" ht="12.75">
      <c r="H325" s="303"/>
    </row>
    <row r="326" spans="8:8" ht="12.75">
      <c r="H326" s="303"/>
    </row>
    <row r="327" spans="8:8" ht="12.75">
      <c r="H327" s="303"/>
    </row>
    <row r="328" spans="8:8" ht="12.75">
      <c r="H328" s="303"/>
    </row>
    <row r="329" spans="8:8" ht="12.75">
      <c r="H329" s="303"/>
    </row>
    <row r="330" spans="8:8" ht="12.75">
      <c r="H330" s="303"/>
    </row>
    <row r="331" spans="8:8" ht="12.75">
      <c r="H331" s="303"/>
    </row>
    <row r="332" spans="8:8" ht="12.75">
      <c r="H332" s="303"/>
    </row>
    <row r="333" spans="8:8" ht="12.75">
      <c r="H333" s="303"/>
    </row>
    <row r="334" spans="8:8" ht="12.75">
      <c r="H334" s="303"/>
    </row>
    <row r="335" spans="8:8" ht="12.75">
      <c r="H335" s="303"/>
    </row>
    <row r="336" spans="8:8" ht="12.75">
      <c r="H336" s="303"/>
    </row>
    <row r="337" spans="8:8" ht="12.75">
      <c r="H337" s="303"/>
    </row>
    <row r="338" spans="8:8" ht="12.75">
      <c r="H338" s="303"/>
    </row>
    <row r="339" spans="8:8" ht="12.75">
      <c r="H339" s="303"/>
    </row>
    <row r="340" spans="8:8" ht="12.75">
      <c r="H340" s="303"/>
    </row>
    <row r="341" spans="8:8" ht="12.75">
      <c r="H341" s="303"/>
    </row>
    <row r="342" spans="8:8" ht="12.75">
      <c r="H342" s="303"/>
    </row>
    <row r="343" spans="8:8" ht="12.75">
      <c r="H343" s="303"/>
    </row>
    <row r="344" spans="8:8" ht="12.75">
      <c r="H344" s="303"/>
    </row>
    <row r="345" spans="8:8" ht="12.75">
      <c r="H345" s="303"/>
    </row>
    <row r="346" spans="8:8" ht="12.75">
      <c r="H346" s="303"/>
    </row>
    <row r="347" spans="8:8" ht="12.75">
      <c r="H347" s="303"/>
    </row>
    <row r="348" spans="8:8" ht="12.75">
      <c r="H348" s="303"/>
    </row>
    <row r="349" spans="8:8" ht="12.75">
      <c r="H349" s="303"/>
    </row>
    <row r="350" spans="8:8" ht="12.75">
      <c r="H350" s="303"/>
    </row>
    <row r="351" spans="8:8" ht="12.75">
      <c r="H351" s="303"/>
    </row>
    <row r="352" spans="8:8" ht="12.75">
      <c r="H352" s="303"/>
    </row>
    <row r="353" spans="8:8" ht="12.75">
      <c r="H353" s="303"/>
    </row>
    <row r="354" spans="8:8" ht="12.75">
      <c r="H354" s="303"/>
    </row>
    <row r="355" spans="8:8" ht="12.75">
      <c r="H355" s="303"/>
    </row>
    <row r="356" spans="8:8" ht="12.75">
      <c r="H356" s="303"/>
    </row>
    <row r="357" spans="8:8" ht="12.75">
      <c r="H357" s="303"/>
    </row>
    <row r="358" spans="8:8" ht="12.75">
      <c r="H358" s="303"/>
    </row>
    <row r="359" spans="8:8" ht="12.75">
      <c r="H359" s="303"/>
    </row>
    <row r="360" spans="8:8" ht="12.75">
      <c r="H360" s="303"/>
    </row>
    <row r="361" spans="8:8" ht="12.75">
      <c r="H361" s="303"/>
    </row>
    <row r="362" spans="8:8" ht="12.75">
      <c r="H362" s="303"/>
    </row>
    <row r="363" spans="8:8" ht="12.75">
      <c r="H363" s="303"/>
    </row>
    <row r="364" spans="8:8" ht="12.75">
      <c r="H364" s="303"/>
    </row>
    <row r="365" spans="8:8" ht="12.75">
      <c r="H365" s="303"/>
    </row>
    <row r="366" spans="8:8" ht="12.75">
      <c r="H366" s="303"/>
    </row>
    <row r="367" spans="8:8" ht="12.75">
      <c r="H367" s="303"/>
    </row>
    <row r="368" spans="8:8" ht="12.75">
      <c r="H368" s="303"/>
    </row>
    <row r="369" spans="8:8" ht="12.75">
      <c r="H369" s="303"/>
    </row>
    <row r="370" spans="8:8" ht="12.75">
      <c r="H370" s="303"/>
    </row>
    <row r="371" spans="8:8" ht="12.75">
      <c r="H371" s="303"/>
    </row>
    <row r="372" spans="8:8" ht="12.75">
      <c r="H372" s="303"/>
    </row>
    <row r="373" spans="8:8" ht="12.75">
      <c r="H373" s="303"/>
    </row>
    <row r="374" spans="8:8" ht="12.75">
      <c r="H374" s="303"/>
    </row>
    <row r="375" spans="8:8" ht="12.75">
      <c r="H375" s="303"/>
    </row>
    <row r="376" spans="8:8" ht="12.75">
      <c r="H376" s="303"/>
    </row>
    <row r="377" spans="8:8" ht="12.75">
      <c r="H377" s="303"/>
    </row>
    <row r="378" spans="8:8" ht="12.75">
      <c r="H378" s="303"/>
    </row>
    <row r="379" spans="8:8" ht="12.75">
      <c r="H379" s="303"/>
    </row>
    <row r="380" spans="8:8" ht="12.75">
      <c r="H380" s="303"/>
    </row>
    <row r="381" spans="8:8" ht="12.75">
      <c r="H381" s="303"/>
    </row>
    <row r="382" spans="8:8" ht="12.75">
      <c r="H382" s="303"/>
    </row>
    <row r="383" spans="8:8" ht="12.75">
      <c r="H383" s="303"/>
    </row>
    <row r="384" spans="8:8" ht="12.75">
      <c r="H384" s="303"/>
    </row>
    <row r="385" spans="8:8" ht="12.75">
      <c r="H385" s="303"/>
    </row>
    <row r="386" spans="8:8" ht="12.75">
      <c r="H386" s="303"/>
    </row>
    <row r="387" spans="8:8" ht="12.75">
      <c r="H387" s="303"/>
    </row>
    <row r="388" spans="8:8" ht="12.75">
      <c r="H388" s="303"/>
    </row>
    <row r="389" spans="8:8" ht="12.75">
      <c r="H389" s="303"/>
    </row>
    <row r="390" spans="8:8" ht="12.75">
      <c r="H390" s="303"/>
    </row>
    <row r="391" spans="8:8" ht="12.75">
      <c r="H391" s="303"/>
    </row>
    <row r="392" spans="8:8" ht="12.75">
      <c r="H392" s="303"/>
    </row>
    <row r="393" spans="8:8" ht="12.75">
      <c r="H393" s="303"/>
    </row>
    <row r="394" spans="8:8" ht="12.75">
      <c r="H394" s="303"/>
    </row>
    <row r="395" spans="8:8" ht="12.75">
      <c r="H395" s="303"/>
    </row>
    <row r="396" spans="8:8" ht="12.75">
      <c r="H396" s="303"/>
    </row>
    <row r="397" spans="8:8" ht="12.75">
      <c r="H397" s="303"/>
    </row>
    <row r="398" spans="8:8" ht="12.75">
      <c r="H398" s="303"/>
    </row>
    <row r="399" spans="8:8" ht="12.75">
      <c r="H399" s="303"/>
    </row>
    <row r="400" spans="8:8" ht="12.75">
      <c r="H400" s="303"/>
    </row>
    <row r="401" spans="8:8" ht="12.75">
      <c r="H401" s="303"/>
    </row>
    <row r="402" spans="8:8" ht="12.75">
      <c r="H402" s="303"/>
    </row>
    <row r="403" spans="8:8" ht="12.75">
      <c r="H403" s="303"/>
    </row>
    <row r="404" spans="8:8" ht="12.75">
      <c r="H404" s="303"/>
    </row>
    <row r="405" spans="8:8" ht="12.75">
      <c r="H405" s="303"/>
    </row>
    <row r="406" spans="8:8" ht="12.75">
      <c r="H406" s="303"/>
    </row>
    <row r="407" spans="8:8" ht="12.75">
      <c r="H407" s="303"/>
    </row>
    <row r="408" spans="8:8" ht="12.75">
      <c r="H408" s="303"/>
    </row>
    <row r="409" spans="8:8" ht="12.75">
      <c r="H409" s="303"/>
    </row>
    <row r="410" spans="8:8" ht="12.75">
      <c r="H410" s="303"/>
    </row>
    <row r="411" spans="8:8" ht="12.75">
      <c r="H411" s="303"/>
    </row>
    <row r="412" spans="8:8" ht="12.75">
      <c r="H412" s="303"/>
    </row>
    <row r="413" spans="8:8" ht="12.75">
      <c r="H413" s="303"/>
    </row>
    <row r="414" spans="8:8" ht="12.75">
      <c r="H414" s="303"/>
    </row>
    <row r="415" spans="8:8" ht="12.75">
      <c r="H415" s="303"/>
    </row>
    <row r="416" spans="8:8" ht="12.75">
      <c r="H416" s="303"/>
    </row>
    <row r="417" spans="8:8" ht="12.75">
      <c r="H417" s="303"/>
    </row>
    <row r="418" spans="8:8" ht="12.75">
      <c r="H418" s="303"/>
    </row>
    <row r="419" spans="8:8" ht="12.75">
      <c r="H419" s="303"/>
    </row>
    <row r="420" spans="8:8" ht="12.75">
      <c r="H420" s="303"/>
    </row>
    <row r="421" spans="8:8" ht="12.75">
      <c r="H421" s="303"/>
    </row>
    <row r="422" spans="8:8" ht="12.75">
      <c r="H422" s="303"/>
    </row>
    <row r="423" spans="8:8" ht="12.75">
      <c r="H423" s="303"/>
    </row>
    <row r="424" spans="8:8" ht="12.75">
      <c r="H424" s="303"/>
    </row>
    <row r="425" spans="8:8" ht="12.75">
      <c r="H425" s="303"/>
    </row>
    <row r="426" spans="8:8" ht="12.75">
      <c r="H426" s="303"/>
    </row>
    <row r="427" spans="8:8" ht="12.75">
      <c r="H427" s="303"/>
    </row>
    <row r="428" spans="8:8" ht="12.75">
      <c r="H428" s="303"/>
    </row>
    <row r="429" spans="8:8" ht="12.75">
      <c r="H429" s="303"/>
    </row>
    <row r="430" spans="8:8" ht="12.75">
      <c r="H430" s="303"/>
    </row>
    <row r="431" spans="8:8" ht="12.75">
      <c r="H431" s="303"/>
    </row>
    <row r="432" spans="8:8" ht="12.75">
      <c r="H432" s="303"/>
    </row>
    <row r="433" spans="8:8" ht="12.75">
      <c r="H433" s="303"/>
    </row>
    <row r="434" spans="8:8" ht="12.75">
      <c r="H434" s="303"/>
    </row>
    <row r="435" spans="8:8" ht="12.75">
      <c r="H435" s="303"/>
    </row>
    <row r="436" spans="8:8" ht="12.75">
      <c r="H436" s="303"/>
    </row>
    <row r="437" spans="8:8" ht="12.75">
      <c r="H437" s="303"/>
    </row>
    <row r="438" spans="8:8" ht="12.75">
      <c r="H438" s="303"/>
    </row>
    <row r="439" spans="8:8" ht="12.75">
      <c r="H439" s="303"/>
    </row>
    <row r="440" spans="8:8" ht="12.75">
      <c r="H440" s="303"/>
    </row>
    <row r="441" spans="8:8" ht="12.75">
      <c r="H441" s="303"/>
    </row>
    <row r="442" spans="8:8" ht="12.75">
      <c r="H442" s="303"/>
    </row>
    <row r="443" spans="8:8" ht="12.75">
      <c r="H443" s="303"/>
    </row>
    <row r="444" spans="8:8" ht="12.75">
      <c r="H444" s="303"/>
    </row>
    <row r="445" spans="8:8" ht="12.75">
      <c r="H445" s="303"/>
    </row>
    <row r="446" spans="8:8" ht="12.75">
      <c r="H446" s="303"/>
    </row>
    <row r="447" spans="8:8" ht="12.75">
      <c r="H447" s="303"/>
    </row>
    <row r="448" spans="8:8" ht="12.75">
      <c r="H448" s="303"/>
    </row>
    <row r="449" spans="8:8" ht="12.75">
      <c r="H449" s="303"/>
    </row>
    <row r="450" spans="8:8" ht="12.75">
      <c r="H450" s="303"/>
    </row>
    <row r="451" spans="8:8" ht="12.75">
      <c r="H451" s="303"/>
    </row>
    <row r="452" spans="8:8" ht="12.75">
      <c r="H452" s="303"/>
    </row>
    <row r="453" spans="8:8" ht="12.75">
      <c r="H453" s="303"/>
    </row>
    <row r="454" spans="8:8" ht="12.75">
      <c r="H454" s="303"/>
    </row>
    <row r="455" spans="8:8" ht="12.75">
      <c r="H455" s="303"/>
    </row>
    <row r="456" spans="8:8" ht="12.75">
      <c r="H456" s="303"/>
    </row>
    <row r="457" spans="8:8" ht="12.75">
      <c r="H457" s="303"/>
    </row>
    <row r="458" spans="8:8" ht="12.75">
      <c r="H458" s="303"/>
    </row>
    <row r="459" spans="8:8" ht="12.75">
      <c r="H459" s="303"/>
    </row>
    <row r="460" spans="8:8" ht="12.75">
      <c r="H460" s="303"/>
    </row>
    <row r="461" spans="8:8" ht="12.75">
      <c r="H461" s="303"/>
    </row>
    <row r="462" spans="8:8" ht="12.75">
      <c r="H462" s="303"/>
    </row>
    <row r="463" spans="8:8" ht="12.75">
      <c r="H463" s="303"/>
    </row>
    <row r="464" spans="8:8" ht="12.75">
      <c r="H464" s="303"/>
    </row>
    <row r="465" spans="8:8" ht="12.75">
      <c r="H465" s="303"/>
    </row>
    <row r="466" spans="8:8" ht="12.75">
      <c r="H466" s="303"/>
    </row>
    <row r="467" spans="8:8" ht="12.75">
      <c r="H467" s="303"/>
    </row>
    <row r="468" spans="8:8" ht="12.75">
      <c r="H468" s="303"/>
    </row>
    <row r="469" spans="8:8" ht="12.75">
      <c r="H469" s="303"/>
    </row>
    <row r="470" spans="8:8" ht="12.75">
      <c r="H470" s="303"/>
    </row>
    <row r="471" spans="8:8" ht="12.75">
      <c r="H471" s="303"/>
    </row>
    <row r="472" spans="8:8" ht="12.75">
      <c r="H472" s="303"/>
    </row>
    <row r="473" spans="8:8" ht="12.75">
      <c r="H473" s="303"/>
    </row>
    <row r="474" spans="8:8" ht="12.75">
      <c r="H474" s="303"/>
    </row>
    <row r="475" spans="8:8" ht="12.75">
      <c r="H475" s="303"/>
    </row>
    <row r="476" spans="8:8" ht="12.75">
      <c r="H476" s="303"/>
    </row>
    <row r="477" spans="8:8" ht="12.75">
      <c r="H477" s="303"/>
    </row>
    <row r="478" spans="8:8" ht="12.75">
      <c r="H478" s="303"/>
    </row>
    <row r="479" spans="8:8" ht="12.75">
      <c r="H479" s="303"/>
    </row>
    <row r="480" spans="8:8" ht="12.75">
      <c r="H480" s="303"/>
    </row>
    <row r="481" spans="8:8" ht="12.75">
      <c r="H481" s="303"/>
    </row>
    <row r="482" spans="8:8" ht="12.75">
      <c r="H482" s="303"/>
    </row>
    <row r="483" spans="8:8" ht="12.75">
      <c r="H483" s="303"/>
    </row>
    <row r="484" spans="8:8" ht="12.75">
      <c r="H484" s="303"/>
    </row>
    <row r="485" spans="8:8" ht="12.75">
      <c r="H485" s="303"/>
    </row>
    <row r="486" spans="8:8" ht="12.75">
      <c r="H486" s="303"/>
    </row>
    <row r="487" spans="8:8" ht="12.75">
      <c r="H487" s="303"/>
    </row>
    <row r="488" spans="8:8" ht="12.75">
      <c r="H488" s="303"/>
    </row>
    <row r="489" spans="8:8" ht="12.75">
      <c r="H489" s="303"/>
    </row>
    <row r="490" spans="8:8" ht="12.75">
      <c r="H490" s="303"/>
    </row>
    <row r="491" spans="8:8" ht="12.75">
      <c r="H491" s="303"/>
    </row>
    <row r="492" spans="8:8" ht="12.75">
      <c r="H492" s="303"/>
    </row>
    <row r="493" spans="8:8" ht="12.75">
      <c r="H493" s="303"/>
    </row>
    <row r="494" spans="8:8" ht="12.75">
      <c r="H494" s="303"/>
    </row>
    <row r="495" spans="8:8" ht="12.75">
      <c r="H495" s="303"/>
    </row>
    <row r="496" spans="8:8" ht="12.75">
      <c r="H496" s="303"/>
    </row>
    <row r="497" spans="8:8" ht="12.75">
      <c r="H497" s="303"/>
    </row>
    <row r="498" spans="8:8" ht="12.75">
      <c r="H498" s="303"/>
    </row>
    <row r="499" spans="8:8" ht="12.75">
      <c r="H499" s="303"/>
    </row>
    <row r="500" spans="8:8" ht="12.75">
      <c r="H500" s="303"/>
    </row>
    <row r="501" spans="8:8" ht="12.75">
      <c r="H501" s="303"/>
    </row>
    <row r="502" spans="8:8" ht="12.75">
      <c r="H502" s="303"/>
    </row>
    <row r="503" spans="8:8" ht="12.75">
      <c r="H503" s="303"/>
    </row>
    <row r="504" spans="8:8" ht="12.75">
      <c r="H504" s="303"/>
    </row>
    <row r="505" spans="8:8" ht="12.75">
      <c r="H505" s="303"/>
    </row>
    <row r="506" spans="8:8" ht="12.75">
      <c r="H506" s="303"/>
    </row>
    <row r="507" spans="8:8" ht="12.75">
      <c r="H507" s="303"/>
    </row>
    <row r="508" spans="8:8" ht="12.75">
      <c r="H508" s="303"/>
    </row>
    <row r="509" spans="8:8" ht="12.75">
      <c r="H509" s="303"/>
    </row>
    <row r="510" spans="8:8" ht="12.75">
      <c r="H510" s="303"/>
    </row>
    <row r="511" spans="8:8" ht="12.75">
      <c r="H511" s="303"/>
    </row>
    <row r="512" spans="8:8" ht="12.75">
      <c r="H512" s="303"/>
    </row>
    <row r="513" spans="8:8" ht="12.75">
      <c r="H513" s="303"/>
    </row>
    <row r="514" spans="8:8" ht="12.75">
      <c r="H514" s="303"/>
    </row>
    <row r="515" spans="8:8" ht="12.75">
      <c r="H515" s="303"/>
    </row>
    <row r="516" spans="8:8" ht="12.75">
      <c r="H516" s="303"/>
    </row>
    <row r="517" spans="8:8" ht="12.75">
      <c r="H517" s="303"/>
    </row>
    <row r="518" spans="8:8" ht="12.75">
      <c r="H518" s="303"/>
    </row>
    <row r="519" spans="8:8" ht="12.75">
      <c r="H519" s="303"/>
    </row>
    <row r="520" spans="8:8" ht="12.75">
      <c r="H520" s="303"/>
    </row>
    <row r="521" spans="8:8" ht="12.75">
      <c r="H521" s="303"/>
    </row>
    <row r="522" spans="8:8" ht="12.75">
      <c r="H522" s="303"/>
    </row>
    <row r="523" spans="8:8" ht="12.75">
      <c r="H523" s="303"/>
    </row>
    <row r="524" spans="8:8" ht="12.75">
      <c r="H524" s="303"/>
    </row>
    <row r="525" spans="8:8" ht="12.75">
      <c r="H525" s="303"/>
    </row>
    <row r="526" spans="8:8" ht="12.75">
      <c r="H526" s="303"/>
    </row>
    <row r="527" spans="8:8" ht="12.75">
      <c r="H527" s="303"/>
    </row>
    <row r="528" spans="8:8" ht="12.75">
      <c r="H528" s="303"/>
    </row>
    <row r="529" spans="8:8" ht="12.75">
      <c r="H529" s="303"/>
    </row>
    <row r="530" spans="8:8" ht="12.75">
      <c r="H530" s="303"/>
    </row>
    <row r="531" spans="8:8" ht="12.75">
      <c r="H531" s="303"/>
    </row>
    <row r="532" spans="8:8" ht="12.75">
      <c r="H532" s="303"/>
    </row>
    <row r="533" spans="8:8" ht="12.75">
      <c r="H533" s="303"/>
    </row>
    <row r="534" spans="8:8" ht="12.75">
      <c r="H534" s="303"/>
    </row>
    <row r="535" spans="8:8" ht="12.75">
      <c r="H535" s="303"/>
    </row>
    <row r="536" spans="8:8" ht="12.75">
      <c r="H536" s="303"/>
    </row>
    <row r="537" spans="8:8" ht="12.75">
      <c r="H537" s="303"/>
    </row>
    <row r="538" spans="8:8" ht="12.75">
      <c r="H538" s="303"/>
    </row>
    <row r="539" spans="8:8" ht="12.75">
      <c r="H539" s="303"/>
    </row>
    <row r="540" spans="8:8" ht="12.75">
      <c r="H540" s="303"/>
    </row>
    <row r="541" spans="8:8" ht="12.75">
      <c r="H541" s="303"/>
    </row>
    <row r="542" spans="8:8" ht="12.75">
      <c r="H542" s="303"/>
    </row>
    <row r="543" spans="8:8" ht="12.75">
      <c r="H543" s="303"/>
    </row>
    <row r="544" spans="8:8" ht="12.75">
      <c r="H544" s="303"/>
    </row>
    <row r="545" spans="8:8" ht="12.75">
      <c r="H545" s="303"/>
    </row>
    <row r="546" spans="8:8" ht="12.75">
      <c r="H546" s="303"/>
    </row>
    <row r="547" spans="8:8" ht="12.75">
      <c r="H547" s="303"/>
    </row>
    <row r="548" spans="8:8" ht="12.75">
      <c r="H548" s="303"/>
    </row>
    <row r="549" spans="8:8" ht="12.75">
      <c r="H549" s="303"/>
    </row>
    <row r="550" spans="8:8" ht="12.75">
      <c r="H550" s="303"/>
    </row>
    <row r="551" spans="8:8" ht="12.75">
      <c r="H551" s="303"/>
    </row>
    <row r="552" spans="8:8" ht="12.75">
      <c r="H552" s="303"/>
    </row>
    <row r="553" spans="8:8" ht="12.75">
      <c r="H553" s="303"/>
    </row>
    <row r="554" spans="8:8" ht="12.75">
      <c r="H554" s="303"/>
    </row>
    <row r="555" spans="8:8" ht="12.75">
      <c r="H555" s="303"/>
    </row>
    <row r="556" spans="8:8" ht="12.75">
      <c r="H556" s="303"/>
    </row>
    <row r="557" spans="8:8" ht="12.75">
      <c r="H557" s="303"/>
    </row>
    <row r="558" spans="8:8" ht="12.75">
      <c r="H558" s="303"/>
    </row>
    <row r="559" spans="8:8" ht="12.75">
      <c r="H559" s="303"/>
    </row>
    <row r="560" spans="8:8" ht="12.75">
      <c r="H560" s="303"/>
    </row>
    <row r="561" spans="8:8" ht="12.75">
      <c r="H561" s="303"/>
    </row>
    <row r="562" spans="8:8" ht="12.75">
      <c r="H562" s="303"/>
    </row>
    <row r="563" spans="8:8" ht="12.75">
      <c r="H563" s="303"/>
    </row>
    <row r="564" spans="8:8" ht="12.75">
      <c r="H564" s="303"/>
    </row>
    <row r="565" spans="8:8" ht="12.75">
      <c r="H565" s="303"/>
    </row>
    <row r="566" spans="8:8" ht="12.75">
      <c r="H566" s="303"/>
    </row>
    <row r="567" spans="8:8" ht="12.75">
      <c r="H567" s="303"/>
    </row>
    <row r="568" spans="8:8" ht="12.75">
      <c r="H568" s="303"/>
    </row>
    <row r="569" spans="8:8" ht="12.75">
      <c r="H569" s="303"/>
    </row>
    <row r="570" spans="8:8" ht="12.75">
      <c r="H570" s="303"/>
    </row>
    <row r="571" spans="8:8" ht="12.75">
      <c r="H571" s="303"/>
    </row>
    <row r="572" spans="8:8" ht="12.75">
      <c r="H572" s="303"/>
    </row>
    <row r="573" spans="8:8" ht="12.75">
      <c r="H573" s="303"/>
    </row>
    <row r="574" spans="8:8" ht="12.75">
      <c r="H574" s="303"/>
    </row>
    <row r="575" spans="8:8" ht="12.75">
      <c r="H575" s="303"/>
    </row>
    <row r="576" spans="8:8" ht="12.75">
      <c r="H576" s="303"/>
    </row>
    <row r="577" spans="8:8" ht="12.75">
      <c r="H577" s="303"/>
    </row>
    <row r="578" spans="8:8" ht="12.75">
      <c r="H578" s="303"/>
    </row>
    <row r="579" spans="8:8" ht="12.75">
      <c r="H579" s="303"/>
    </row>
    <row r="580" spans="8:8" ht="12.75">
      <c r="H580" s="303"/>
    </row>
    <row r="581" spans="8:8" ht="12.75">
      <c r="H581" s="303"/>
    </row>
    <row r="582" spans="8:8" ht="12.75">
      <c r="H582" s="303"/>
    </row>
    <row r="583" spans="8:8" ht="12.75">
      <c r="H583" s="303"/>
    </row>
    <row r="584" spans="8:8" ht="12.75">
      <c r="H584" s="303"/>
    </row>
    <row r="585" spans="8:8" ht="12.75">
      <c r="H585" s="303"/>
    </row>
    <row r="586" spans="8:8" ht="12.75">
      <c r="H586" s="303"/>
    </row>
    <row r="587" spans="8:8" ht="12.75">
      <c r="H587" s="303"/>
    </row>
    <row r="588" spans="8:8" ht="12.75">
      <c r="H588" s="303"/>
    </row>
    <row r="589" spans="8:8" ht="12.75">
      <c r="H589" s="303"/>
    </row>
    <row r="590" spans="8:8" ht="12.75">
      <c r="H590" s="303"/>
    </row>
    <row r="591" spans="8:8" ht="12.75">
      <c r="H591" s="303"/>
    </row>
    <row r="592" spans="8:8" ht="12.75">
      <c r="H592" s="303"/>
    </row>
    <row r="593" spans="8:8" ht="12.75">
      <c r="H593" s="303"/>
    </row>
    <row r="594" spans="8:8" ht="12.75">
      <c r="H594" s="303"/>
    </row>
    <row r="595" spans="8:8" ht="12.75">
      <c r="H595" s="303"/>
    </row>
    <row r="596" spans="8:8" ht="12.75">
      <c r="H596" s="303"/>
    </row>
    <row r="597" spans="8:8" ht="12.75">
      <c r="H597" s="303"/>
    </row>
    <row r="598" spans="8:8" ht="12.75">
      <c r="H598" s="303"/>
    </row>
    <row r="599" spans="8:8" ht="12.75">
      <c r="H599" s="303"/>
    </row>
    <row r="600" spans="8:8" ht="12.75">
      <c r="H600" s="303"/>
    </row>
    <row r="601" spans="8:8" ht="12.75">
      <c r="H601" s="303"/>
    </row>
    <row r="602" spans="8:8" ht="12.75">
      <c r="H602" s="303"/>
    </row>
    <row r="603" spans="8:8" ht="12.75">
      <c r="H603" s="303"/>
    </row>
    <row r="604" spans="8:8" ht="12.75">
      <c r="H604" s="303"/>
    </row>
    <row r="605" spans="8:8" ht="12.75">
      <c r="H605" s="303"/>
    </row>
    <row r="606" spans="8:8" ht="12.75">
      <c r="H606" s="303"/>
    </row>
    <row r="607" spans="8:8" ht="12.75">
      <c r="H607" s="303"/>
    </row>
    <row r="608" spans="8:8" ht="12.75">
      <c r="H608" s="303"/>
    </row>
    <row r="609" spans="8:8" ht="12.75">
      <c r="H609" s="303"/>
    </row>
    <row r="610" spans="8:8" ht="12.75">
      <c r="H610" s="303"/>
    </row>
    <row r="611" spans="8:8" ht="12.75">
      <c r="H611" s="303"/>
    </row>
    <row r="612" spans="8:8" ht="12.75">
      <c r="H612" s="303"/>
    </row>
    <row r="613" spans="8:8" ht="12.75">
      <c r="H613" s="303"/>
    </row>
    <row r="614" spans="8:8" ht="12.75">
      <c r="H614" s="303"/>
    </row>
    <row r="615" spans="8:8" ht="12.75">
      <c r="H615" s="303"/>
    </row>
    <row r="616" spans="8:8" ht="12.75">
      <c r="H616" s="303"/>
    </row>
    <row r="617" spans="8:8" ht="12.75">
      <c r="H617" s="303"/>
    </row>
    <row r="618" spans="8:8" ht="12.75">
      <c r="H618" s="303"/>
    </row>
    <row r="619" spans="8:8" ht="12.75">
      <c r="H619" s="303"/>
    </row>
    <row r="620" spans="8:8" ht="12.75">
      <c r="H620" s="303"/>
    </row>
    <row r="621" spans="8:8" ht="12.75">
      <c r="H621" s="303"/>
    </row>
    <row r="622" spans="8:8" ht="12.75">
      <c r="H622" s="303"/>
    </row>
    <row r="623" spans="8:8" ht="12.75">
      <c r="H623" s="303"/>
    </row>
    <row r="624" spans="8:8" ht="12.75">
      <c r="H624" s="303"/>
    </row>
    <row r="625" spans="8:8" ht="12.75">
      <c r="H625" s="303"/>
    </row>
    <row r="626" spans="8:8" ht="12.75">
      <c r="H626" s="303"/>
    </row>
    <row r="627" spans="8:8" ht="12.75">
      <c r="H627" s="303"/>
    </row>
    <row r="628" spans="8:8" ht="12.75">
      <c r="H628" s="303"/>
    </row>
    <row r="629" spans="8:8" ht="12.75">
      <c r="H629" s="303"/>
    </row>
    <row r="630" spans="8:8" ht="12.75">
      <c r="H630" s="303"/>
    </row>
    <row r="631" spans="8:8" ht="12.75">
      <c r="H631" s="303"/>
    </row>
    <row r="632" spans="8:8" ht="12.75">
      <c r="H632" s="303"/>
    </row>
    <row r="633" spans="8:8" ht="12.75">
      <c r="H633" s="303"/>
    </row>
    <row r="634" spans="8:8" ht="12.75">
      <c r="H634" s="303"/>
    </row>
    <row r="635" spans="8:8" ht="12.75">
      <c r="H635" s="303"/>
    </row>
    <row r="636" spans="8:8" ht="12.75">
      <c r="H636" s="303"/>
    </row>
    <row r="637" spans="8:8" ht="12.75">
      <c r="H637" s="303"/>
    </row>
    <row r="638" spans="8:8" ht="12.75">
      <c r="H638" s="303"/>
    </row>
    <row r="639" spans="8:8" ht="12.75">
      <c r="H639" s="303"/>
    </row>
    <row r="640" spans="8:8" ht="12.75">
      <c r="H640" s="303"/>
    </row>
    <row r="641" spans="8:8" ht="12.75">
      <c r="H641" s="303"/>
    </row>
    <row r="642" spans="8:8" ht="12.75">
      <c r="H642" s="303"/>
    </row>
    <row r="643" spans="8:8" ht="12.75">
      <c r="H643" s="303"/>
    </row>
    <row r="644" spans="8:8" ht="12.75">
      <c r="H644" s="303"/>
    </row>
    <row r="645" spans="8:8" ht="12.75">
      <c r="H645" s="303"/>
    </row>
    <row r="646" spans="8:8" ht="12.75">
      <c r="H646" s="303"/>
    </row>
    <row r="647" spans="8:8" ht="12.75">
      <c r="H647" s="303"/>
    </row>
    <row r="648" spans="8:8" ht="12.75">
      <c r="H648" s="303"/>
    </row>
    <row r="649" spans="8:8" ht="12.75">
      <c r="H649" s="303"/>
    </row>
    <row r="650" spans="8:8" ht="12.75">
      <c r="H650" s="303"/>
    </row>
    <row r="651" spans="8:8" ht="12.75">
      <c r="H651" s="303"/>
    </row>
    <row r="652" spans="8:8" ht="12.75">
      <c r="H652" s="303"/>
    </row>
    <row r="653" spans="8:8" ht="12.75">
      <c r="H653" s="303"/>
    </row>
    <row r="654" spans="8:8" ht="12.75">
      <c r="H654" s="303"/>
    </row>
    <row r="655" spans="8:8" ht="12.75">
      <c r="H655" s="303"/>
    </row>
    <row r="656" spans="8:8" ht="12.75">
      <c r="H656" s="303"/>
    </row>
    <row r="657" spans="8:8" ht="12.75">
      <c r="H657" s="303"/>
    </row>
    <row r="658" spans="8:8" ht="12.75">
      <c r="H658" s="303"/>
    </row>
    <row r="659" spans="8:8" ht="12.75">
      <c r="H659" s="303"/>
    </row>
    <row r="660" spans="8:8" ht="12.75">
      <c r="H660" s="303"/>
    </row>
    <row r="661" spans="8:8" ht="12.75">
      <c r="H661" s="303"/>
    </row>
    <row r="662" spans="8:8" ht="12.75">
      <c r="H662" s="303"/>
    </row>
    <row r="663" spans="8:8" ht="12.75">
      <c r="H663" s="303"/>
    </row>
    <row r="664" spans="8:8" ht="12.75">
      <c r="H664" s="303"/>
    </row>
    <row r="665" spans="8:8" ht="12.75">
      <c r="H665" s="303"/>
    </row>
    <row r="666" spans="8:8" ht="12.75">
      <c r="H666" s="303"/>
    </row>
    <row r="667" spans="8:8" ht="12.75">
      <c r="H667" s="303"/>
    </row>
    <row r="668" spans="8:8" ht="12.75">
      <c r="H668" s="303"/>
    </row>
    <row r="669" spans="8:8" ht="12.75">
      <c r="H669" s="303"/>
    </row>
    <row r="670" spans="8:8" ht="12.75">
      <c r="H670" s="303"/>
    </row>
    <row r="671" spans="8:8" ht="12.75">
      <c r="H671" s="303"/>
    </row>
    <row r="672" spans="8:8" ht="12.75">
      <c r="H672" s="303"/>
    </row>
    <row r="673" spans="8:8" ht="12.75">
      <c r="H673" s="303"/>
    </row>
    <row r="674" spans="8:8" ht="12.75">
      <c r="H674" s="303"/>
    </row>
    <row r="675" spans="8:8" ht="12.75">
      <c r="H675" s="303"/>
    </row>
    <row r="676" spans="8:8" ht="12.75">
      <c r="H676" s="303"/>
    </row>
    <row r="677" spans="8:8" ht="12.75">
      <c r="H677" s="303"/>
    </row>
    <row r="678" spans="8:8" ht="12.75">
      <c r="H678" s="303"/>
    </row>
    <row r="679" spans="8:8" ht="12.75">
      <c r="H679" s="303"/>
    </row>
    <row r="680" spans="8:8" ht="12.75">
      <c r="H680" s="303"/>
    </row>
    <row r="681" spans="8:8" ht="12.75">
      <c r="H681" s="303"/>
    </row>
    <row r="682" spans="8:8" ht="12.75">
      <c r="H682" s="303"/>
    </row>
    <row r="683" spans="8:8" ht="12.75">
      <c r="H683" s="303"/>
    </row>
    <row r="684" spans="8:8" ht="12.75">
      <c r="H684" s="303"/>
    </row>
    <row r="685" spans="8:8" ht="12.75">
      <c r="H685" s="303"/>
    </row>
    <row r="686" spans="8:8" ht="12.75">
      <c r="H686" s="303"/>
    </row>
    <row r="687" spans="8:8" ht="12.75">
      <c r="H687" s="303"/>
    </row>
    <row r="688" spans="8:8" ht="12.75">
      <c r="H688" s="303"/>
    </row>
    <row r="689" spans="8:8" ht="12.75">
      <c r="H689" s="303"/>
    </row>
    <row r="690" spans="8:8" ht="12.75">
      <c r="H690" s="303"/>
    </row>
    <row r="691" spans="8:8" ht="12.75">
      <c r="H691" s="303"/>
    </row>
    <row r="692" spans="8:8" ht="12.75">
      <c r="H692" s="303"/>
    </row>
    <row r="693" spans="8:8" ht="12.75">
      <c r="H693" s="303"/>
    </row>
    <row r="694" spans="8:8" ht="12.75">
      <c r="H694" s="303"/>
    </row>
    <row r="695" spans="8:8" ht="12.75">
      <c r="H695" s="303"/>
    </row>
    <row r="696" spans="8:8" ht="12.75">
      <c r="H696" s="303"/>
    </row>
    <row r="697" spans="8:8" ht="12.75">
      <c r="H697" s="303"/>
    </row>
    <row r="698" spans="8:8" ht="12.75">
      <c r="H698" s="303"/>
    </row>
    <row r="699" spans="8:8" ht="12.75">
      <c r="H699" s="303"/>
    </row>
    <row r="700" spans="8:8" ht="12.75">
      <c r="H700" s="303"/>
    </row>
    <row r="701" spans="8:8" ht="12.75">
      <c r="H701" s="303"/>
    </row>
    <row r="702" spans="8:8" ht="12.75">
      <c r="H702" s="303"/>
    </row>
    <row r="703" spans="8:8" ht="12.75">
      <c r="H703" s="303"/>
    </row>
    <row r="704" spans="8:8" ht="12.75">
      <c r="H704" s="303"/>
    </row>
    <row r="705" spans="8:8" ht="12.75">
      <c r="H705" s="303"/>
    </row>
    <row r="706" spans="8:8" ht="12.75">
      <c r="H706" s="303"/>
    </row>
    <row r="707" spans="8:8" ht="12.75">
      <c r="H707" s="303"/>
    </row>
    <row r="708" spans="8:8" ht="12.75">
      <c r="H708" s="303"/>
    </row>
    <row r="709" spans="8:8" ht="12.75">
      <c r="H709" s="303"/>
    </row>
    <row r="710" spans="8:8" ht="12.75">
      <c r="H710" s="303"/>
    </row>
    <row r="711" spans="8:8" ht="12.75">
      <c r="H711" s="303"/>
    </row>
    <row r="712" spans="8:8" ht="12.75">
      <c r="H712" s="303"/>
    </row>
    <row r="713" spans="8:8" ht="12.75">
      <c r="H713" s="303"/>
    </row>
    <row r="714" spans="8:8" ht="12.75">
      <c r="H714" s="303"/>
    </row>
    <row r="715" spans="8:8" ht="12.75">
      <c r="H715" s="303"/>
    </row>
    <row r="716" spans="8:8" ht="12.75">
      <c r="H716" s="303"/>
    </row>
    <row r="717" spans="8:8" ht="12.75">
      <c r="H717" s="303"/>
    </row>
    <row r="718" spans="8:8" ht="12.75">
      <c r="H718" s="303"/>
    </row>
    <row r="719" spans="8:8" ht="12.75">
      <c r="H719" s="303"/>
    </row>
    <row r="720" spans="8:8" ht="12.75">
      <c r="H720" s="303"/>
    </row>
    <row r="721" spans="8:8" ht="12.75">
      <c r="H721" s="303"/>
    </row>
    <row r="722" spans="8:8" ht="12.75">
      <c r="H722" s="303"/>
    </row>
    <row r="723" spans="8:8" ht="12.75">
      <c r="H723" s="303"/>
    </row>
    <row r="724" spans="8:8" ht="12.75">
      <c r="H724" s="303"/>
    </row>
    <row r="725" spans="8:8" ht="12.75">
      <c r="H725" s="303"/>
    </row>
    <row r="726" spans="8:8" ht="12.75">
      <c r="H726" s="303"/>
    </row>
    <row r="727" spans="8:8" ht="12.75">
      <c r="H727" s="303"/>
    </row>
    <row r="728" spans="8:8" ht="12.75">
      <c r="H728" s="303"/>
    </row>
    <row r="729" spans="8:8" ht="12.75">
      <c r="H729" s="303"/>
    </row>
    <row r="730" spans="8:8" ht="12.75">
      <c r="H730" s="303"/>
    </row>
    <row r="731" spans="8:8" ht="12.75">
      <c r="H731" s="303"/>
    </row>
    <row r="732" spans="8:8" ht="12.75">
      <c r="H732" s="303"/>
    </row>
    <row r="733" spans="8:8" ht="12.75">
      <c r="H733" s="303"/>
    </row>
    <row r="734" spans="8:8" ht="12.75">
      <c r="H734" s="303"/>
    </row>
    <row r="735" spans="8:8" ht="12.75">
      <c r="H735" s="303"/>
    </row>
    <row r="736" spans="8:8" ht="12.75">
      <c r="H736" s="303"/>
    </row>
    <row r="737" spans="8:8" ht="12.75">
      <c r="H737" s="303"/>
    </row>
    <row r="738" spans="8:8" ht="12.75">
      <c r="H738" s="303"/>
    </row>
    <row r="739" spans="8:8" ht="12.75">
      <c r="H739" s="303"/>
    </row>
    <row r="740" spans="8:8" ht="12.75">
      <c r="H740" s="303"/>
    </row>
    <row r="741" spans="8:8" ht="12.75">
      <c r="H741" s="303"/>
    </row>
    <row r="742" spans="8:8" ht="12.75">
      <c r="H742" s="303"/>
    </row>
    <row r="743" spans="8:8" ht="12.75">
      <c r="H743" s="303"/>
    </row>
    <row r="744" spans="8:8" ht="12.75">
      <c r="H744" s="303"/>
    </row>
    <row r="745" spans="8:8" ht="12.75">
      <c r="H745" s="303"/>
    </row>
    <row r="746" spans="8:8" ht="12.75">
      <c r="H746" s="303"/>
    </row>
    <row r="747" spans="8:8" ht="12.75">
      <c r="H747" s="303"/>
    </row>
    <row r="748" spans="8:8" ht="12.75">
      <c r="H748" s="303"/>
    </row>
    <row r="749" spans="8:8" ht="12.75">
      <c r="H749" s="303"/>
    </row>
    <row r="750" spans="8:8" ht="12.75">
      <c r="H750" s="303"/>
    </row>
    <row r="751" spans="8:8" ht="12.75">
      <c r="H751" s="303"/>
    </row>
    <row r="752" spans="8:8" ht="12.75">
      <c r="H752" s="303"/>
    </row>
    <row r="753" spans="8:8" ht="12.75">
      <c r="H753" s="303"/>
    </row>
    <row r="754" spans="8:8" ht="12.75">
      <c r="H754" s="303"/>
    </row>
    <row r="755" spans="8:8" ht="12.75">
      <c r="H755" s="303"/>
    </row>
    <row r="756" spans="8:8" ht="12.75">
      <c r="H756" s="303"/>
    </row>
    <row r="757" spans="8:8" ht="12.75">
      <c r="H757" s="303"/>
    </row>
    <row r="758" spans="8:8" ht="12.75">
      <c r="H758" s="303"/>
    </row>
    <row r="759" spans="8:8" ht="12.75">
      <c r="H759" s="303"/>
    </row>
    <row r="760" spans="8:8" ht="12.75">
      <c r="H760" s="303"/>
    </row>
    <row r="761" spans="8:8" ht="12.75">
      <c r="H761" s="303"/>
    </row>
    <row r="762" spans="8:8" ht="12.75">
      <c r="H762" s="303"/>
    </row>
    <row r="763" spans="8:8" ht="12.75">
      <c r="H763" s="303"/>
    </row>
    <row r="764" spans="8:8" ht="12.75">
      <c r="H764" s="303"/>
    </row>
    <row r="765" spans="8:8" ht="12.75">
      <c r="H765" s="303"/>
    </row>
    <row r="766" spans="8:8" ht="12.75">
      <c r="H766" s="303"/>
    </row>
    <row r="767" spans="8:8" ht="12.75">
      <c r="H767" s="303"/>
    </row>
    <row r="768" spans="8:8" ht="12.75">
      <c r="H768" s="303"/>
    </row>
    <row r="769" spans="8:8" ht="12.75">
      <c r="H769" s="303"/>
    </row>
    <row r="770" spans="8:8" ht="12.75">
      <c r="H770" s="303"/>
    </row>
    <row r="771" spans="8:8" ht="12.75">
      <c r="H771" s="303"/>
    </row>
    <row r="772" spans="8:8" ht="12.75">
      <c r="H772" s="303"/>
    </row>
    <row r="773" spans="8:8" ht="12.75">
      <c r="H773" s="303"/>
    </row>
    <row r="774" spans="8:8" ht="12.75">
      <c r="H774" s="303"/>
    </row>
    <row r="775" spans="8:8" ht="12.75">
      <c r="H775" s="303"/>
    </row>
    <row r="776" spans="8:8" ht="12.75">
      <c r="H776" s="303"/>
    </row>
    <row r="777" spans="8:8" ht="12.75">
      <c r="H777" s="303"/>
    </row>
    <row r="778" spans="8:8" ht="12.75">
      <c r="H778" s="303"/>
    </row>
    <row r="779" spans="8:8" ht="12.75">
      <c r="H779" s="303"/>
    </row>
    <row r="780" spans="8:8" ht="12.75">
      <c r="H780" s="303"/>
    </row>
    <row r="781" spans="8:8" ht="12.75">
      <c r="H781" s="303"/>
    </row>
    <row r="782" spans="8:8" ht="12.75">
      <c r="H782" s="303"/>
    </row>
    <row r="783" spans="8:8" ht="12.75">
      <c r="H783" s="303"/>
    </row>
    <row r="784" spans="8:8" ht="12.75">
      <c r="H784" s="303"/>
    </row>
    <row r="785" spans="8:8" ht="12.75">
      <c r="H785" s="303"/>
    </row>
    <row r="786" spans="8:8" ht="12.75">
      <c r="H786" s="303"/>
    </row>
    <row r="787" spans="8:8" ht="12.75">
      <c r="H787" s="303"/>
    </row>
    <row r="788" spans="8:8" ht="12.75">
      <c r="H788" s="303"/>
    </row>
    <row r="789" spans="8:8" ht="12.75">
      <c r="H789" s="303"/>
    </row>
    <row r="790" spans="8:8" ht="12.75">
      <c r="H790" s="303"/>
    </row>
    <row r="791" spans="8:8" ht="12.75">
      <c r="H791" s="303"/>
    </row>
    <row r="792" spans="8:8" ht="12.75">
      <c r="H792" s="303"/>
    </row>
    <row r="793" spans="8:8" ht="12.75">
      <c r="H793" s="303"/>
    </row>
    <row r="794" spans="8:8" ht="12.75">
      <c r="H794" s="303"/>
    </row>
    <row r="795" spans="8:8" ht="12.75">
      <c r="H795" s="303"/>
    </row>
    <row r="796" spans="8:8" ht="12.75">
      <c r="H796" s="303"/>
    </row>
    <row r="797" spans="8:8" ht="12.75">
      <c r="H797" s="303"/>
    </row>
    <row r="798" spans="8:8" ht="12.75">
      <c r="H798" s="303"/>
    </row>
    <row r="799" spans="8:8" ht="12.75">
      <c r="H799" s="303"/>
    </row>
    <row r="800" spans="8:8" ht="12.75">
      <c r="H800" s="303"/>
    </row>
    <row r="801" spans="8:8" ht="12.75">
      <c r="H801" s="303"/>
    </row>
    <row r="802" spans="8:8" ht="12.75">
      <c r="H802" s="303"/>
    </row>
    <row r="803" spans="8:8" ht="12.75">
      <c r="H803" s="303"/>
    </row>
    <row r="804" spans="8:8" ht="12.75">
      <c r="H804" s="303"/>
    </row>
    <row r="805" spans="8:8" ht="12.75">
      <c r="H805" s="303"/>
    </row>
    <row r="806" spans="8:8" ht="12.75">
      <c r="H806" s="303"/>
    </row>
    <row r="807" spans="8:8" ht="12.75">
      <c r="H807" s="303"/>
    </row>
    <row r="808" spans="8:8" ht="12.75">
      <c r="H808" s="303"/>
    </row>
    <row r="809" spans="8:8" ht="12.75">
      <c r="H809" s="303"/>
    </row>
    <row r="810" spans="8:8" ht="12.75">
      <c r="H810" s="303"/>
    </row>
    <row r="811" spans="8:8" ht="12.75">
      <c r="H811" s="303"/>
    </row>
    <row r="812" spans="8:8" ht="12.75">
      <c r="H812" s="303"/>
    </row>
    <row r="813" spans="8:8" ht="12.75">
      <c r="H813" s="303"/>
    </row>
    <row r="814" spans="8:8" ht="12.75">
      <c r="H814" s="303"/>
    </row>
    <row r="815" spans="8:8" ht="12.75">
      <c r="H815" s="303"/>
    </row>
    <row r="816" spans="8:8" ht="12.75">
      <c r="H816" s="303"/>
    </row>
    <row r="817" spans="8:8" ht="12.75">
      <c r="H817" s="303"/>
    </row>
    <row r="818" spans="8:8" ht="12.75">
      <c r="H818" s="303"/>
    </row>
    <row r="819" spans="8:8" ht="12.75">
      <c r="H819" s="303"/>
    </row>
    <row r="820" spans="8:8" ht="12.75">
      <c r="H820" s="303"/>
    </row>
    <row r="821" spans="8:8" ht="12.75">
      <c r="H821" s="303"/>
    </row>
    <row r="822" spans="8:8" ht="12.75">
      <c r="H822" s="303"/>
    </row>
    <row r="823" spans="8:8" ht="12.75">
      <c r="H823" s="303"/>
    </row>
    <row r="824" spans="8:8" ht="12.75">
      <c r="H824" s="303"/>
    </row>
    <row r="825" spans="8:8" ht="12.75">
      <c r="H825" s="303"/>
    </row>
    <row r="826" spans="8:8" ht="12.75">
      <c r="H826" s="303"/>
    </row>
    <row r="827" spans="8:8" ht="12.75">
      <c r="H827" s="303"/>
    </row>
    <row r="828" spans="8:8" ht="12.75">
      <c r="H828" s="303"/>
    </row>
    <row r="829" spans="8:8" ht="12.75">
      <c r="H829" s="303"/>
    </row>
    <row r="830" spans="8:8" ht="12.75">
      <c r="H830" s="303"/>
    </row>
    <row r="831" spans="8:8" ht="12.75">
      <c r="H831" s="303"/>
    </row>
    <row r="832" spans="8:8" ht="12.75">
      <c r="H832" s="303"/>
    </row>
    <row r="833" spans="8:8" ht="12.75">
      <c r="H833" s="303"/>
    </row>
    <row r="834" spans="8:8" ht="12.75">
      <c r="H834" s="303"/>
    </row>
    <row r="835" spans="8:8" ht="12.75">
      <c r="H835" s="303"/>
    </row>
    <row r="836" spans="8:8" ht="12.75">
      <c r="H836" s="303"/>
    </row>
    <row r="837" spans="8:8" ht="12.75">
      <c r="H837" s="303"/>
    </row>
    <row r="838" spans="8:8" ht="12.75">
      <c r="H838" s="303"/>
    </row>
    <row r="839" spans="8:8" ht="12.75">
      <c r="H839" s="303"/>
    </row>
    <row r="840" spans="8:8" ht="12.75">
      <c r="H840" s="303"/>
    </row>
    <row r="841" spans="8:8" ht="12.75">
      <c r="H841" s="303"/>
    </row>
    <row r="842" spans="8:8" ht="12.75">
      <c r="H842" s="303"/>
    </row>
    <row r="843" spans="8:8" ht="12.75">
      <c r="H843" s="303"/>
    </row>
    <row r="844" spans="8:8" ht="12.75">
      <c r="H844" s="303"/>
    </row>
    <row r="845" spans="8:8" ht="12.75">
      <c r="H845" s="303"/>
    </row>
    <row r="846" spans="8:8" ht="12.75">
      <c r="H846" s="303"/>
    </row>
    <row r="847" spans="8:8" ht="12.75">
      <c r="H847" s="303"/>
    </row>
    <row r="848" spans="8:8" ht="12.75">
      <c r="H848" s="303"/>
    </row>
    <row r="849" spans="8:8" ht="12.75">
      <c r="H849" s="303"/>
    </row>
    <row r="850" spans="8:8" ht="12.75">
      <c r="H850" s="303"/>
    </row>
    <row r="851" spans="8:8" ht="12.75">
      <c r="H851" s="303"/>
    </row>
    <row r="852" spans="8:8" ht="12.75">
      <c r="H852" s="303"/>
    </row>
    <row r="853" spans="8:8" ht="12.75">
      <c r="H853" s="303"/>
    </row>
    <row r="854" spans="8:8" ht="12.75">
      <c r="H854" s="303"/>
    </row>
    <row r="855" spans="8:8" ht="12.75">
      <c r="H855" s="303"/>
    </row>
    <row r="856" spans="8:8" ht="12.75">
      <c r="H856" s="303"/>
    </row>
    <row r="857" spans="8:8" ht="12.75">
      <c r="H857" s="303"/>
    </row>
    <row r="858" spans="8:8" ht="12.75">
      <c r="H858" s="303"/>
    </row>
    <row r="859" spans="8:8" ht="12.75">
      <c r="H859" s="303"/>
    </row>
    <row r="860" spans="8:8" ht="12.75">
      <c r="H860" s="303"/>
    </row>
    <row r="861" spans="8:8" ht="12.75">
      <c r="H861" s="303"/>
    </row>
    <row r="862" spans="8:8" ht="12.75">
      <c r="H862" s="303"/>
    </row>
    <row r="863" spans="8:8" ht="12.75">
      <c r="H863" s="303"/>
    </row>
    <row r="864" spans="8:8" ht="12.75">
      <c r="H864" s="303"/>
    </row>
    <row r="865" spans="8:8" ht="12.75">
      <c r="H865" s="303"/>
    </row>
    <row r="866" spans="8:8" ht="12.75">
      <c r="H866" s="303"/>
    </row>
    <row r="867" spans="8:8" ht="12.75">
      <c r="H867" s="303"/>
    </row>
    <row r="868" spans="8:8" ht="12.75">
      <c r="H868" s="303"/>
    </row>
    <row r="869" spans="8:8" ht="12.75">
      <c r="H869" s="303"/>
    </row>
    <row r="870" spans="8:8" ht="12.75">
      <c r="H870" s="303"/>
    </row>
    <row r="871" spans="8:8" ht="12.75">
      <c r="H871" s="303"/>
    </row>
    <row r="872" spans="8:8" ht="12.75">
      <c r="H872" s="303"/>
    </row>
    <row r="873" spans="8:8" ht="12.75">
      <c r="H873" s="303"/>
    </row>
    <row r="874" spans="8:8" ht="12.75">
      <c r="H874" s="303"/>
    </row>
    <row r="875" spans="8:8" ht="12.75">
      <c r="H875" s="303"/>
    </row>
    <row r="876" spans="8:8" ht="12.75">
      <c r="H876" s="303"/>
    </row>
    <row r="877" spans="8:8" ht="12.75">
      <c r="H877" s="303"/>
    </row>
    <row r="878" spans="8:8" ht="12.75">
      <c r="H878" s="303"/>
    </row>
    <row r="879" spans="8:8" ht="12.75">
      <c r="H879" s="303"/>
    </row>
    <row r="880" spans="8:8" ht="12.75">
      <c r="H880" s="303"/>
    </row>
    <row r="881" spans="8:8" ht="12.75">
      <c r="H881" s="303"/>
    </row>
    <row r="882" spans="8:8" ht="12.75">
      <c r="H882" s="303"/>
    </row>
    <row r="883" spans="8:8" ht="12.75">
      <c r="H883" s="303"/>
    </row>
    <row r="884" spans="8:8" ht="12.75">
      <c r="H884" s="303"/>
    </row>
    <row r="885" spans="8:8" ht="12.75">
      <c r="H885" s="303"/>
    </row>
    <row r="886" spans="8:8" ht="12.75">
      <c r="H886" s="303"/>
    </row>
    <row r="887" spans="8:8" ht="12.75">
      <c r="H887" s="303"/>
    </row>
    <row r="888" spans="8:8" ht="12.75">
      <c r="H888" s="303"/>
    </row>
    <row r="889" spans="8:8" ht="12.75">
      <c r="H889" s="303"/>
    </row>
    <row r="890" spans="8:8" ht="12.75">
      <c r="H890" s="303"/>
    </row>
    <row r="891" spans="8:8" ht="12.75">
      <c r="H891" s="303"/>
    </row>
    <row r="892" spans="8:8" ht="12.75">
      <c r="H892" s="303"/>
    </row>
    <row r="893" spans="8:8" ht="12.75">
      <c r="H893" s="303"/>
    </row>
    <row r="894" spans="8:8" ht="12.75">
      <c r="H894" s="303"/>
    </row>
    <row r="895" spans="8:8" ht="12.75">
      <c r="H895" s="303"/>
    </row>
    <row r="896" spans="8:8" ht="12.75">
      <c r="H896" s="303"/>
    </row>
    <row r="897" spans="8:8" ht="12.75">
      <c r="H897" s="303"/>
    </row>
    <row r="898" spans="8:8" ht="12.75">
      <c r="H898" s="303"/>
    </row>
    <row r="899" spans="8:8" ht="12.75">
      <c r="H899" s="303"/>
    </row>
    <row r="900" spans="8:8" ht="12.75">
      <c r="H900" s="303"/>
    </row>
    <row r="901" spans="8:8" ht="12.75">
      <c r="H901" s="303"/>
    </row>
    <row r="902" spans="8:8" ht="12.75">
      <c r="H902" s="303"/>
    </row>
    <row r="903" spans="8:8" ht="12.75">
      <c r="H903" s="303"/>
    </row>
    <row r="904" spans="8:8" ht="12.75">
      <c r="H904" s="303"/>
    </row>
    <row r="905" spans="8:8" ht="12.75">
      <c r="H905" s="303"/>
    </row>
    <row r="906" spans="8:8" ht="12.75">
      <c r="H906" s="303"/>
    </row>
    <row r="907" spans="8:8" ht="12.75">
      <c r="H907" s="303"/>
    </row>
    <row r="908" spans="8:8" ht="12.75">
      <c r="H908" s="303"/>
    </row>
    <row r="909" spans="8:8" ht="12.75">
      <c r="H909" s="303"/>
    </row>
    <row r="910" spans="8:8" ht="12.75">
      <c r="H910" s="303"/>
    </row>
    <row r="911" spans="8:8" ht="12.75">
      <c r="H911" s="303"/>
    </row>
    <row r="912" spans="8:8" ht="12.75">
      <c r="H912" s="303"/>
    </row>
    <row r="913" spans="8:8" ht="12.75">
      <c r="H913" s="303"/>
    </row>
    <row r="914" spans="8:8" ht="12.75">
      <c r="H914" s="303"/>
    </row>
    <row r="915" spans="8:8" ht="12.75">
      <c r="H915" s="303"/>
    </row>
    <row r="916" spans="8:8" ht="12.75">
      <c r="H916" s="303"/>
    </row>
    <row r="917" spans="8:8" ht="12.75">
      <c r="H917" s="303"/>
    </row>
    <row r="918" spans="8:8" ht="12.75">
      <c r="H918" s="303"/>
    </row>
    <row r="919" spans="8:8" ht="12.75">
      <c r="H919" s="303"/>
    </row>
    <row r="920" spans="8:8" ht="12.75">
      <c r="H920" s="303"/>
    </row>
    <row r="921" spans="8:8" ht="12.75">
      <c r="H921" s="303"/>
    </row>
    <row r="922" spans="8:8" ht="12.75">
      <c r="H922" s="303"/>
    </row>
    <row r="923" spans="8:8" ht="12.75">
      <c r="H923" s="303"/>
    </row>
    <row r="924" spans="8:8" ht="12.75">
      <c r="H924" s="303"/>
    </row>
    <row r="925" spans="8:8" ht="12.75">
      <c r="H925" s="303"/>
    </row>
    <row r="926" spans="8:8" ht="12.75">
      <c r="H926" s="303"/>
    </row>
    <row r="927" spans="8:8" ht="12.75">
      <c r="H927" s="303"/>
    </row>
    <row r="928" spans="8:8" ht="12.75">
      <c r="H928" s="303"/>
    </row>
    <row r="929" spans="8:8" ht="12.75">
      <c r="H929" s="303"/>
    </row>
    <row r="930" spans="8:8" ht="12.75">
      <c r="H930" s="303"/>
    </row>
    <row r="931" spans="8:8" ht="12.75">
      <c r="H931" s="303"/>
    </row>
    <row r="932" spans="8:8" ht="12.75">
      <c r="H932" s="303"/>
    </row>
    <row r="933" spans="8:8" ht="12.75">
      <c r="H933" s="303"/>
    </row>
    <row r="934" spans="8:8" ht="12.75">
      <c r="H934" s="303"/>
    </row>
    <row r="935" spans="8:8" ht="12.75">
      <c r="H935" s="303"/>
    </row>
    <row r="936" spans="8:8" ht="12.75">
      <c r="H936" s="303"/>
    </row>
    <row r="937" spans="8:8" ht="12.75">
      <c r="H937" s="303"/>
    </row>
    <row r="938" spans="8:8" ht="12.75">
      <c r="H938" s="303"/>
    </row>
    <row r="939" spans="8:8" ht="12.75">
      <c r="H939" s="303"/>
    </row>
    <row r="940" spans="8:8" ht="12.75">
      <c r="H940" s="303"/>
    </row>
    <row r="941" spans="8:8" ht="12.75">
      <c r="H941" s="303"/>
    </row>
    <row r="942" spans="8:8" ht="12.75">
      <c r="H942" s="303"/>
    </row>
    <row r="943" spans="8:8" ht="12.75">
      <c r="H943" s="303"/>
    </row>
    <row r="944" spans="8:8" ht="12.75">
      <c r="H944" s="303"/>
    </row>
    <row r="945" spans="8:8" ht="12.75">
      <c r="H945" s="303"/>
    </row>
    <row r="946" spans="8:8" ht="12.75">
      <c r="H946" s="303"/>
    </row>
    <row r="947" spans="8:8" ht="12.75">
      <c r="H947" s="303"/>
    </row>
    <row r="948" spans="8:8" ht="12.75">
      <c r="H948" s="303"/>
    </row>
    <row r="949" spans="8:8" ht="12.75">
      <c r="H949" s="303"/>
    </row>
    <row r="950" spans="8:8" ht="12.75">
      <c r="H950" s="303"/>
    </row>
    <row r="951" spans="8:8" ht="12.75">
      <c r="H951" s="303"/>
    </row>
    <row r="952" spans="8:8" ht="12.75">
      <c r="H952" s="303"/>
    </row>
    <row r="953" spans="8:8" ht="12.75">
      <c r="H953" s="303"/>
    </row>
    <row r="954" spans="8:8" ht="12.75">
      <c r="H954" s="303"/>
    </row>
    <row r="955" spans="8:8" ht="12.75">
      <c r="H955" s="303"/>
    </row>
    <row r="956" spans="8:8" ht="12.75">
      <c r="H956" s="303"/>
    </row>
    <row r="957" spans="8:8" ht="12.75">
      <c r="H957" s="303"/>
    </row>
    <row r="958" spans="8:8" ht="12.75">
      <c r="H958" s="303"/>
    </row>
    <row r="959" spans="8:8" ht="12.75">
      <c r="H959" s="303"/>
    </row>
    <row r="960" spans="8:8" ht="12.75">
      <c r="H960" s="303"/>
    </row>
    <row r="961" spans="8:8" ht="12.75">
      <c r="H961" s="303"/>
    </row>
    <row r="962" spans="8:8" ht="12.75">
      <c r="H962" s="303"/>
    </row>
    <row r="963" spans="8:8" ht="12.75">
      <c r="H963" s="303"/>
    </row>
    <row r="964" spans="8:8" ht="12.75">
      <c r="H964" s="303"/>
    </row>
    <row r="965" spans="8:8" ht="12.75">
      <c r="H965" s="303"/>
    </row>
    <row r="966" spans="8:8" ht="12.75">
      <c r="H966" s="303"/>
    </row>
    <row r="967" spans="8:8" ht="12.75">
      <c r="H967" s="303"/>
    </row>
    <row r="968" spans="8:8" ht="12.75">
      <c r="H968" s="303"/>
    </row>
    <row r="969" spans="8:8" ht="12.75">
      <c r="H969" s="303"/>
    </row>
    <row r="970" spans="8:8" ht="12.75">
      <c r="H970" s="303"/>
    </row>
    <row r="971" spans="8:8" ht="12.75">
      <c r="H971" s="303"/>
    </row>
    <row r="972" spans="8:8" ht="12.75">
      <c r="H972" s="303"/>
    </row>
    <row r="973" spans="8:8" ht="12.75">
      <c r="H973" s="303"/>
    </row>
    <row r="974" spans="8:8" ht="12.75">
      <c r="H974" s="303"/>
    </row>
    <row r="975" spans="8:8" ht="12.75">
      <c r="H975" s="303"/>
    </row>
    <row r="976" spans="8:8" ht="12.75">
      <c r="H976" s="303"/>
    </row>
    <row r="977" spans="8:8" ht="12.75">
      <c r="H977" s="303"/>
    </row>
    <row r="978" spans="8:8" ht="12.75">
      <c r="H978" s="303"/>
    </row>
    <row r="979" spans="8:8" ht="12.75">
      <c r="H979" s="303"/>
    </row>
    <row r="980" spans="8:8" ht="12.75">
      <c r="H980" s="303"/>
    </row>
    <row r="981" spans="8:8" ht="12.75">
      <c r="H981" s="303"/>
    </row>
    <row r="982" spans="8:8" ht="12.75">
      <c r="H982" s="303"/>
    </row>
    <row r="983" spans="8:8" ht="12.75">
      <c r="H983" s="303"/>
    </row>
    <row r="984" spans="8:8" ht="12.75">
      <c r="H984" s="303"/>
    </row>
    <row r="985" spans="8:8" ht="12.75">
      <c r="H985" s="303"/>
    </row>
    <row r="986" spans="8:8" ht="12.75">
      <c r="H986" s="303"/>
    </row>
    <row r="987" spans="8:8" ht="12.75">
      <c r="H987" s="303"/>
    </row>
    <row r="988" spans="8:8" ht="12.75">
      <c r="H988" s="303"/>
    </row>
    <row r="989" spans="8:8" ht="12.75">
      <c r="H989" s="303"/>
    </row>
    <row r="990" spans="8:8" ht="12.75">
      <c r="H990" s="303"/>
    </row>
    <row r="991" spans="8:8" ht="12.75">
      <c r="H991" s="303"/>
    </row>
    <row r="992" spans="8:8" ht="12.75">
      <c r="H992" s="303"/>
    </row>
    <row r="993" spans="8:8" ht="12.75">
      <c r="H993" s="303"/>
    </row>
    <row r="994" spans="8:8" ht="12.75">
      <c r="H994" s="303"/>
    </row>
    <row r="995" spans="8:8" ht="12.75">
      <c r="H995" s="303"/>
    </row>
    <row r="996" spans="8:8" ht="12.75">
      <c r="H996" s="303"/>
    </row>
    <row r="997" spans="8:8" ht="12.75">
      <c r="H997" s="303"/>
    </row>
    <row r="998" spans="8:8" ht="12.75">
      <c r="H998" s="303"/>
    </row>
    <row r="999" spans="8:8" ht="12.75">
      <c r="H999" s="303"/>
    </row>
    <row r="1000" spans="8:8" ht="12.75">
      <c r="H1000" s="303"/>
    </row>
  </sheetData>
  <hyperlinks>
    <hyperlink ref="F34" r:id="rId1" display="http://t.ly/FTRw4"/>
    <hyperlink ref="F112" r:id="rId2" display="https://slu-se.zoom.us/j/6368141497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9"/>
  <sheetViews>
    <sheetView workbookViewId="0"/>
  </sheetViews>
  <sheetFormatPr defaultColWidth="12.5703125" defaultRowHeight="15.75" customHeight="1"/>
  <cols>
    <col min="1" max="1" width="18.42578125" customWidth="1"/>
    <col min="2" max="2" width="17.28515625" customWidth="1"/>
  </cols>
  <sheetData>
    <row r="1" spans="1:12" ht="39" customHeight="1">
      <c r="A1" s="324" t="s">
        <v>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2">
      <c r="A2" s="304" t="str">
        <f ca="1">IFERROR(__xludf.DUMMYFUNCTION("IMPORTRANGE(""1aNEE-XJZsW29FyVb9FjfIFt3vbGNHCOrr56wJDcPayo"",""Students!t1:ae28"")"),"#REF!")</f>
        <v>#REF!</v>
      </c>
      <c r="B2" s="304"/>
      <c r="C2" s="304"/>
      <c r="D2" s="304"/>
      <c r="E2" s="304"/>
      <c r="F2" s="209"/>
      <c r="G2" s="305"/>
      <c r="H2" s="305"/>
      <c r="I2" s="305"/>
      <c r="J2" s="305"/>
      <c r="K2" s="305"/>
      <c r="L2" s="305"/>
    </row>
    <row r="3" spans="1:12" ht="15">
      <c r="A3" s="306"/>
      <c r="B3" s="306"/>
      <c r="C3" s="307"/>
      <c r="D3" s="322"/>
      <c r="E3" s="322"/>
      <c r="F3" s="308"/>
      <c r="G3" s="309"/>
      <c r="H3" s="309"/>
      <c r="I3" s="309"/>
      <c r="J3" s="309"/>
      <c r="K3" s="310"/>
      <c r="L3" s="310"/>
    </row>
    <row r="4" spans="1:12" ht="15">
      <c r="A4" s="306"/>
      <c r="B4" s="306"/>
      <c r="C4" s="307"/>
      <c r="D4" s="323"/>
      <c r="E4" s="323"/>
      <c r="F4" s="308"/>
      <c r="G4" s="309"/>
      <c r="H4" s="309"/>
      <c r="I4" s="309"/>
      <c r="J4" s="309"/>
      <c r="K4" s="310"/>
      <c r="L4" s="310"/>
    </row>
    <row r="5" spans="1:12" ht="15">
      <c r="A5" s="306"/>
      <c r="B5" s="306"/>
      <c r="C5" s="307"/>
      <c r="D5" s="323"/>
      <c r="E5" s="323"/>
      <c r="F5" s="311"/>
      <c r="G5" s="309"/>
      <c r="H5" s="309"/>
      <c r="I5" s="309"/>
      <c r="J5" s="309"/>
      <c r="K5" s="310"/>
      <c r="L5" s="310"/>
    </row>
    <row r="6" spans="1:12" ht="15">
      <c r="A6" s="306"/>
      <c r="B6" s="306"/>
      <c r="C6" s="307"/>
      <c r="D6" s="323"/>
      <c r="E6" s="323"/>
      <c r="F6" s="308"/>
      <c r="G6" s="309"/>
      <c r="H6" s="309"/>
      <c r="I6" s="309"/>
      <c r="J6" s="309"/>
      <c r="K6" s="310"/>
      <c r="L6" s="310"/>
    </row>
    <row r="7" spans="1:12" ht="15">
      <c r="A7" s="306"/>
      <c r="B7" s="306"/>
      <c r="C7" s="307"/>
      <c r="D7" s="323"/>
      <c r="E7" s="323"/>
      <c r="F7" s="308"/>
      <c r="G7" s="309"/>
      <c r="H7" s="309"/>
      <c r="I7" s="309"/>
      <c r="J7" s="309"/>
      <c r="K7" s="310"/>
      <c r="L7" s="310"/>
    </row>
    <row r="8" spans="1:12" ht="15">
      <c r="A8" s="306"/>
      <c r="B8" s="306"/>
      <c r="C8" s="307"/>
      <c r="D8" s="323"/>
      <c r="E8" s="323"/>
      <c r="F8" s="312"/>
      <c r="G8" s="309"/>
      <c r="H8" s="309"/>
      <c r="I8" s="309"/>
      <c r="J8" s="309"/>
      <c r="K8" s="310"/>
      <c r="L8" s="310"/>
    </row>
    <row r="9" spans="1:12" ht="15">
      <c r="A9" s="313"/>
      <c r="B9" s="313"/>
      <c r="C9" s="314"/>
      <c r="D9" s="322"/>
      <c r="E9" s="322"/>
      <c r="F9" s="311"/>
      <c r="G9" s="309"/>
      <c r="H9" s="309"/>
      <c r="I9" s="309"/>
      <c r="J9" s="309"/>
      <c r="K9" s="310"/>
      <c r="L9" s="310"/>
    </row>
    <row r="10" spans="1:12">
      <c r="A10" s="315"/>
      <c r="B10" s="316"/>
      <c r="C10" s="314"/>
      <c r="D10" s="323"/>
      <c r="E10" s="323"/>
      <c r="F10" s="317"/>
      <c r="G10" s="309"/>
      <c r="H10" s="309"/>
      <c r="I10" s="309"/>
      <c r="J10" s="309"/>
      <c r="K10" s="310"/>
      <c r="L10" s="310"/>
    </row>
    <row r="11" spans="1:12" ht="15">
      <c r="A11" s="313"/>
      <c r="B11" s="313"/>
      <c r="C11" s="314"/>
      <c r="D11" s="323"/>
      <c r="E11" s="323"/>
      <c r="F11" s="308"/>
      <c r="G11" s="309"/>
      <c r="H11" s="309"/>
      <c r="I11" s="309"/>
      <c r="J11" s="309"/>
      <c r="K11" s="310"/>
      <c r="L11" s="310"/>
    </row>
    <row r="12" spans="1:12" ht="15">
      <c r="A12" s="313"/>
      <c r="B12" s="313"/>
      <c r="C12" s="314"/>
      <c r="D12" s="323"/>
      <c r="E12" s="323"/>
      <c r="F12" s="308"/>
      <c r="G12" s="309"/>
      <c r="H12" s="309"/>
      <c r="I12" s="309"/>
      <c r="J12" s="309"/>
      <c r="K12" s="310"/>
      <c r="L12" s="310"/>
    </row>
    <row r="13" spans="1:12" ht="15">
      <c r="A13" s="313"/>
      <c r="B13" s="313"/>
      <c r="C13" s="314"/>
      <c r="D13" s="323"/>
      <c r="E13" s="323"/>
      <c r="F13" s="313"/>
      <c r="G13" s="309"/>
      <c r="H13" s="309"/>
      <c r="I13" s="309"/>
      <c r="J13" s="309"/>
      <c r="K13" s="310"/>
      <c r="L13" s="310"/>
    </row>
    <row r="14" spans="1:12" ht="15">
      <c r="A14" s="318"/>
      <c r="B14" s="318"/>
      <c r="C14" s="319"/>
      <c r="D14" s="322"/>
      <c r="E14" s="322"/>
      <c r="F14" s="308"/>
      <c r="G14" s="309"/>
      <c r="H14" s="309"/>
      <c r="I14" s="309"/>
      <c r="J14" s="309"/>
      <c r="K14" s="310"/>
      <c r="L14" s="310"/>
    </row>
    <row r="15" spans="1:12" ht="15">
      <c r="A15" s="318"/>
      <c r="B15" s="318"/>
      <c r="C15" s="319"/>
      <c r="D15" s="323"/>
      <c r="E15" s="323"/>
      <c r="F15" s="312"/>
      <c r="G15" s="309"/>
      <c r="H15" s="309"/>
      <c r="I15" s="309"/>
      <c r="J15" s="309"/>
      <c r="K15" s="310"/>
      <c r="L15" s="310"/>
    </row>
    <row r="16" spans="1:12" ht="15">
      <c r="A16" s="318"/>
      <c r="B16" s="318"/>
      <c r="C16" s="319"/>
      <c r="D16" s="323"/>
      <c r="E16" s="323"/>
      <c r="F16" s="308"/>
      <c r="G16" s="309"/>
      <c r="H16" s="309"/>
      <c r="I16" s="309"/>
      <c r="J16" s="309"/>
      <c r="K16" s="310"/>
      <c r="L16" s="310"/>
    </row>
    <row r="17" spans="1:12" ht="15">
      <c r="A17" s="318"/>
      <c r="B17" s="318"/>
      <c r="C17" s="319"/>
      <c r="D17" s="323"/>
      <c r="E17" s="323"/>
      <c r="F17" s="312"/>
      <c r="G17" s="309"/>
      <c r="H17" s="309"/>
      <c r="I17" s="309"/>
      <c r="J17" s="309"/>
      <c r="K17" s="310"/>
      <c r="L17" s="310"/>
    </row>
    <row r="18" spans="1:12" ht="15">
      <c r="A18" s="318"/>
      <c r="B18" s="318"/>
      <c r="C18" s="319"/>
      <c r="D18" s="323"/>
      <c r="E18" s="323"/>
      <c r="F18" s="308"/>
      <c r="G18" s="309"/>
      <c r="H18" s="309"/>
      <c r="I18" s="309"/>
      <c r="J18" s="309"/>
      <c r="K18" s="310"/>
      <c r="L18" s="310"/>
    </row>
    <row r="19" spans="1:12" ht="15">
      <c r="A19" s="312"/>
      <c r="B19" s="312"/>
      <c r="C19" s="320"/>
      <c r="D19" s="322"/>
      <c r="E19" s="322"/>
      <c r="F19" s="308"/>
      <c r="G19" s="309"/>
      <c r="H19" s="309"/>
      <c r="I19" s="309"/>
      <c r="J19" s="309"/>
      <c r="K19" s="310"/>
      <c r="L19" s="310"/>
    </row>
    <row r="20" spans="1:12" ht="15">
      <c r="A20" s="312"/>
      <c r="B20" s="312"/>
      <c r="C20" s="320"/>
      <c r="D20" s="323"/>
      <c r="E20" s="323"/>
      <c r="F20" s="308"/>
      <c r="G20" s="309"/>
      <c r="H20" s="309"/>
      <c r="I20" s="309"/>
      <c r="J20" s="309"/>
      <c r="K20" s="310"/>
      <c r="L20" s="310"/>
    </row>
    <row r="21" spans="1:12" ht="15">
      <c r="A21" s="312"/>
      <c r="B21" s="312"/>
      <c r="C21" s="320"/>
      <c r="D21" s="323"/>
      <c r="E21" s="323"/>
      <c r="F21" s="308"/>
      <c r="G21" s="309"/>
      <c r="H21" s="309"/>
      <c r="I21" s="309"/>
      <c r="J21" s="309"/>
      <c r="K21" s="310"/>
      <c r="L21" s="310"/>
    </row>
    <row r="22" spans="1:12" ht="15">
      <c r="A22" s="312"/>
      <c r="B22" s="312"/>
      <c r="C22" s="320"/>
      <c r="D22" s="323"/>
      <c r="E22" s="323"/>
      <c r="F22" s="311"/>
      <c r="G22" s="309"/>
      <c r="H22" s="309"/>
      <c r="I22" s="309"/>
      <c r="J22" s="309"/>
      <c r="K22" s="310"/>
      <c r="L22" s="310"/>
    </row>
    <row r="23" spans="1:12" ht="15">
      <c r="A23" s="312"/>
      <c r="B23" s="312"/>
      <c r="C23" s="320"/>
      <c r="D23" s="323"/>
      <c r="E23" s="323"/>
      <c r="F23" s="308"/>
      <c r="G23" s="309"/>
      <c r="H23" s="309"/>
      <c r="I23" s="309"/>
      <c r="J23" s="309"/>
      <c r="K23" s="310"/>
      <c r="L23" s="310"/>
    </row>
    <row r="24" spans="1:12" ht="15">
      <c r="A24" s="311"/>
      <c r="B24" s="311"/>
      <c r="C24" s="321"/>
      <c r="D24" s="322"/>
      <c r="E24" s="322"/>
      <c r="F24" s="308"/>
      <c r="G24" s="309"/>
      <c r="H24" s="309"/>
      <c r="I24" s="309"/>
      <c r="J24" s="309"/>
      <c r="K24" s="310"/>
      <c r="L24" s="310"/>
    </row>
    <row r="25" spans="1:12" ht="15">
      <c r="A25" s="311"/>
      <c r="B25" s="311"/>
      <c r="C25" s="321"/>
      <c r="D25" s="323"/>
      <c r="E25" s="323"/>
      <c r="F25" s="308"/>
      <c r="G25" s="309"/>
      <c r="H25" s="309"/>
      <c r="I25" s="309"/>
      <c r="J25" s="309"/>
      <c r="K25" s="310"/>
      <c r="L25" s="310"/>
    </row>
    <row r="26" spans="1:12" ht="15">
      <c r="A26" s="311"/>
      <c r="B26" s="311"/>
      <c r="C26" s="321"/>
      <c r="D26" s="323"/>
      <c r="E26" s="323"/>
      <c r="F26" s="311"/>
      <c r="G26" s="309"/>
      <c r="H26" s="309"/>
      <c r="I26" s="309"/>
      <c r="J26" s="309"/>
      <c r="K26" s="310"/>
      <c r="L26" s="310"/>
    </row>
    <row r="27" spans="1:12" ht="15">
      <c r="A27" s="311"/>
      <c r="B27" s="311"/>
      <c r="C27" s="321"/>
      <c r="D27" s="323"/>
      <c r="E27" s="323"/>
      <c r="F27" s="312"/>
      <c r="G27" s="309"/>
      <c r="H27" s="309"/>
      <c r="I27" s="309"/>
      <c r="J27" s="309"/>
      <c r="K27" s="310"/>
      <c r="L27" s="310"/>
    </row>
    <row r="28" spans="1:12" ht="15">
      <c r="A28" s="311"/>
      <c r="B28" s="311"/>
      <c r="C28" s="321"/>
      <c r="D28" s="323"/>
      <c r="E28" s="323"/>
      <c r="F28" s="308"/>
      <c r="G28" s="309"/>
      <c r="H28" s="309"/>
      <c r="I28" s="309"/>
      <c r="J28" s="309"/>
      <c r="K28" s="310"/>
      <c r="L28" s="310"/>
    </row>
    <row r="29" spans="1:12" ht="15">
      <c r="A29" s="311"/>
      <c r="B29" s="311"/>
      <c r="C29" s="321"/>
      <c r="D29" s="323"/>
      <c r="E29" s="323"/>
      <c r="F29" s="308"/>
      <c r="G29" s="309"/>
      <c r="H29" s="309"/>
      <c r="I29" s="309"/>
      <c r="J29" s="309"/>
      <c r="K29" s="310"/>
      <c r="L29" s="310"/>
    </row>
  </sheetData>
  <mergeCells count="11">
    <mergeCell ref="D19:D23"/>
    <mergeCell ref="E19:E23"/>
    <mergeCell ref="D24:D29"/>
    <mergeCell ref="E24:E29"/>
    <mergeCell ref="A1:K1"/>
    <mergeCell ref="D3:D8"/>
    <mergeCell ref="E3:E8"/>
    <mergeCell ref="D9:D13"/>
    <mergeCell ref="E9:E13"/>
    <mergeCell ref="D14:D18"/>
    <mergeCell ref="E14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AE Basics 24 program</vt:lpstr>
      <vt:lpstr>Course participants and Groups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Lantz</dc:creator>
  <cp:lastModifiedBy>Katarina Lantz</cp:lastModifiedBy>
  <dcterms:created xsi:type="dcterms:W3CDTF">2024-08-26T13:27:53Z</dcterms:created>
  <dcterms:modified xsi:type="dcterms:W3CDTF">2024-08-26T13:27:53Z</dcterms:modified>
</cp:coreProperties>
</file>